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65" windowWidth="28320" windowHeight="16200"/>
  </bookViews>
  <sheets>
    <sheet name="Carrying Capacity" sheetId="1" r:id="rId1"/>
    <sheet name="Ecological Footprint" sheetId="2" r:id="rId2"/>
    <sheet name="Biocapacity" sheetId="3" r:id="rId3"/>
    <sheet name="Population" sheetId="6" r:id="rId4"/>
    <sheet name="Indicators" sheetId="5" r:id="rId5"/>
    <sheet name="Inputs" sheetId="4" r:id="rId6"/>
    <sheet name="Assumptions" sheetId="7" r:id="rId7"/>
    <sheet name="Carbon Footprint" sheetId="8" r:id="rId8"/>
  </sheets>
  <calcPr calcId="12451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52" i="8"/>
  <c r="G52"/>
  <c r="E53"/>
  <c r="G53"/>
  <c r="G50"/>
  <c r="E39"/>
  <c r="G39"/>
  <c r="E40"/>
  <c r="G40"/>
  <c r="E41"/>
  <c r="G41"/>
  <c r="E42"/>
  <c r="G42"/>
  <c r="E43"/>
  <c r="G43"/>
  <c r="E44"/>
  <c r="G44"/>
  <c r="E45"/>
  <c r="G45"/>
  <c r="E46"/>
  <c r="G46"/>
  <c r="E47"/>
  <c r="G47"/>
  <c r="E48"/>
  <c r="G48"/>
  <c r="G37"/>
  <c r="E32"/>
  <c r="G32"/>
  <c r="E33"/>
  <c r="G33"/>
  <c r="E34"/>
  <c r="G34"/>
  <c r="E35"/>
  <c r="G35"/>
  <c r="G30"/>
  <c r="E27"/>
  <c r="G27"/>
  <c r="G25"/>
  <c r="E21"/>
  <c r="G21"/>
  <c r="E22"/>
  <c r="G22"/>
  <c r="G19"/>
  <c r="E16"/>
  <c r="G16"/>
  <c r="E17"/>
  <c r="G17"/>
  <c r="G14"/>
  <c r="E11"/>
  <c r="G11"/>
  <c r="E12"/>
  <c r="G12"/>
  <c r="G9"/>
  <c r="G56"/>
  <c r="G58" l="1"/>
  <c r="K3" i="1"/>
  <c r="E9"/>
  <c r="P6"/>
  <c r="P14"/>
  <c r="G57" i="8"/>
  <c r="H36" i="2"/>
  <c r="E21" i="7"/>
  <c r="D43" i="4"/>
  <c r="E43"/>
  <c r="E61" i="2"/>
  <c r="E60"/>
  <c r="E62"/>
  <c r="E43"/>
  <c r="E37"/>
  <c r="E18"/>
  <c r="E42"/>
  <c r="D20" i="3"/>
  <c r="E49" i="2"/>
  <c r="E48"/>
  <c r="D76" i="4"/>
  <c r="D75"/>
  <c r="E88" i="2"/>
  <c r="D70" i="4"/>
  <c r="D57"/>
  <c r="F105" i="2"/>
  <c r="F75"/>
  <c r="F74"/>
  <c r="F73"/>
  <c r="F72"/>
  <c r="F71"/>
  <c r="F70"/>
  <c r="F69"/>
  <c r="F68"/>
  <c r="F67"/>
  <c r="F66"/>
  <c r="F49"/>
  <c r="F43"/>
  <c r="F36"/>
  <c r="F37"/>
  <c r="F34"/>
  <c r="F32"/>
  <c r="F31"/>
  <c r="F29"/>
  <c r="F28"/>
  <c r="F27"/>
  <c r="F26"/>
  <c r="F25"/>
  <c r="F24"/>
  <c r="F23"/>
  <c r="F22"/>
  <c r="F20"/>
  <c r="F19"/>
  <c r="F18"/>
  <c r="F17"/>
  <c r="F16"/>
  <c r="E105"/>
  <c r="E104"/>
  <c r="E102"/>
  <c r="E101"/>
  <c r="E93"/>
  <c r="E94"/>
  <c r="E95"/>
  <c r="E96"/>
  <c r="E97"/>
  <c r="E98"/>
  <c r="E99"/>
  <c r="E92"/>
  <c r="E90"/>
  <c r="E89"/>
  <c r="E81"/>
  <c r="E82"/>
  <c r="E83"/>
  <c r="E84"/>
  <c r="E85"/>
  <c r="E87"/>
  <c r="E80"/>
  <c r="E73"/>
  <c r="E69"/>
  <c r="E68"/>
  <c r="E66"/>
  <c r="E67"/>
  <c r="E59"/>
  <c r="E54"/>
  <c r="E36"/>
  <c r="E34"/>
  <c r="E32"/>
  <c r="E31"/>
  <c r="E23"/>
  <c r="E24"/>
  <c r="E25"/>
  <c r="E26"/>
  <c r="E27"/>
  <c r="E28"/>
  <c r="E29"/>
  <c r="E22"/>
  <c r="E20"/>
  <c r="E19"/>
  <c r="E12"/>
  <c r="E13"/>
  <c r="E14"/>
  <c r="E15"/>
  <c r="E17"/>
  <c r="E10"/>
  <c r="E11"/>
  <c r="D20" i="6"/>
  <c r="D15"/>
  <c r="D14"/>
  <c r="E138" i="7"/>
  <c r="E86" i="2"/>
  <c r="E20" i="7"/>
  <c r="E16" i="2"/>
  <c r="F15"/>
  <c r="F14"/>
  <c r="F13"/>
  <c r="F12"/>
  <c r="F11"/>
  <c r="F10"/>
  <c r="F80"/>
  <c r="F62"/>
  <c r="F61"/>
  <c r="F60"/>
  <c r="F59"/>
  <c r="D25" i="6"/>
  <c r="C4" i="3"/>
  <c r="E70" i="2"/>
  <c r="D40" i="6"/>
  <c r="D49"/>
  <c r="D9"/>
  <c r="E48" i="1"/>
  <c r="E33"/>
  <c r="P8"/>
  <c r="G43" i="2"/>
  <c r="E75"/>
  <c r="D44" i="6"/>
  <c r="E74" i="2"/>
  <c r="D43" i="6"/>
  <c r="E72" i="2"/>
  <c r="E71"/>
  <c r="D41" i="6"/>
  <c r="D39"/>
  <c r="D38"/>
  <c r="D32"/>
  <c r="D31"/>
  <c r="D30"/>
  <c r="D37"/>
  <c r="D42"/>
  <c r="F41" i="1"/>
  <c r="E41"/>
  <c r="F54" i="2"/>
  <c r="G54"/>
  <c r="G52"/>
  <c r="F48"/>
  <c r="G48"/>
  <c r="F42"/>
  <c r="G42"/>
  <c r="G40"/>
  <c r="G67"/>
  <c r="G69"/>
  <c r="G66"/>
  <c r="F104"/>
  <c r="G104"/>
  <c r="F102"/>
  <c r="G102"/>
  <c r="F101"/>
  <c r="G101"/>
  <c r="F93"/>
  <c r="F94"/>
  <c r="G94"/>
  <c r="F95"/>
  <c r="F96"/>
  <c r="G96"/>
  <c r="F97"/>
  <c r="F98"/>
  <c r="G98"/>
  <c r="F99"/>
  <c r="G99"/>
  <c r="F92"/>
  <c r="G92"/>
  <c r="F81"/>
  <c r="G81"/>
  <c r="F82"/>
  <c r="G82"/>
  <c r="F83"/>
  <c r="G83"/>
  <c r="F84"/>
  <c r="F85"/>
  <c r="G85"/>
  <c r="F86"/>
  <c r="G86"/>
  <c r="F87"/>
  <c r="G87"/>
  <c r="F88"/>
  <c r="G88"/>
  <c r="F89"/>
  <c r="G89"/>
  <c r="F90"/>
  <c r="G90"/>
  <c r="F43" i="1"/>
  <c r="F44"/>
  <c r="F45"/>
  <c r="F46"/>
  <c r="F42"/>
  <c r="F38"/>
  <c r="F39"/>
  <c r="F40"/>
  <c r="F37"/>
  <c r="F36"/>
  <c r="F35"/>
  <c r="F31"/>
  <c r="F30"/>
  <c r="F33"/>
  <c r="F22"/>
  <c r="F23"/>
  <c r="F24"/>
  <c r="F25"/>
  <c r="F26"/>
  <c r="F27"/>
  <c r="F28"/>
  <c r="F21"/>
  <c r="F10"/>
  <c r="F11"/>
  <c r="F12"/>
  <c r="F13"/>
  <c r="F14"/>
  <c r="F15"/>
  <c r="F16"/>
  <c r="F17"/>
  <c r="F18"/>
  <c r="F19"/>
  <c r="F9"/>
  <c r="G49" i="2"/>
  <c r="G60"/>
  <c r="G61"/>
  <c r="G62"/>
  <c r="G59"/>
  <c r="G68"/>
  <c r="G70"/>
  <c r="G71"/>
  <c r="G72"/>
  <c r="G73"/>
  <c r="G74"/>
  <c r="G75"/>
  <c r="G105"/>
  <c r="G37"/>
  <c r="G36"/>
  <c r="G48" i="1"/>
  <c r="E46"/>
  <c r="E45"/>
  <c r="E44"/>
  <c r="E43"/>
  <c r="E42"/>
  <c r="G41"/>
  <c r="E40"/>
  <c r="E39"/>
  <c r="E38"/>
  <c r="E37"/>
  <c r="E36"/>
  <c r="E35"/>
  <c r="G84" i="2"/>
  <c r="G80"/>
  <c r="G42" i="1"/>
  <c r="G46" i="2"/>
  <c r="G39" i="1"/>
  <c r="G43"/>
  <c r="G45"/>
  <c r="G57" i="2"/>
  <c r="G64"/>
  <c r="G36" i="1"/>
  <c r="G38"/>
  <c r="G40"/>
  <c r="G44"/>
  <c r="G46"/>
  <c r="G35"/>
  <c r="G37"/>
  <c r="G97" i="2"/>
  <c r="G95"/>
  <c r="G93"/>
  <c r="G78"/>
  <c r="E11" i="1"/>
  <c r="G11"/>
  <c r="G12" i="2"/>
  <c r="E13" i="1"/>
  <c r="G13"/>
  <c r="G14" i="2"/>
  <c r="E14" i="1"/>
  <c r="G14"/>
  <c r="G15" i="2"/>
  <c r="E19" i="1"/>
  <c r="G19"/>
  <c r="G20" i="2"/>
  <c r="E22" i="1"/>
  <c r="G22"/>
  <c r="G23" i="2"/>
  <c r="E24" i="1"/>
  <c r="G24"/>
  <c r="G25" i="2"/>
  <c r="E26" i="1"/>
  <c r="G26"/>
  <c r="G27" i="2"/>
  <c r="E28" i="1"/>
  <c r="G28"/>
  <c r="G29" i="2"/>
  <c r="E31" i="1"/>
  <c r="G31"/>
  <c r="G32" i="2"/>
  <c r="E18" i="1"/>
  <c r="G18"/>
  <c r="G19" i="2"/>
  <c r="G9" i="1"/>
  <c r="G10" i="2"/>
  <c r="G33" i="1"/>
  <c r="G34" i="2"/>
  <c r="E10" i="1"/>
  <c r="G10"/>
  <c r="G11" i="2"/>
  <c r="E12" i="1"/>
  <c r="G12"/>
  <c r="G13" i="2"/>
  <c r="E17" i="1"/>
  <c r="G17"/>
  <c r="G18" i="2"/>
  <c r="E15" i="1"/>
  <c r="G15"/>
  <c r="G16" i="2"/>
  <c r="E16" i="1"/>
  <c r="G16"/>
  <c r="G17" i="2"/>
  <c r="E21" i="1"/>
  <c r="G21"/>
  <c r="G22" i="2"/>
  <c r="E23" i="1"/>
  <c r="G23"/>
  <c r="G24" i="2"/>
  <c r="E25" i="1"/>
  <c r="G25"/>
  <c r="G26" i="2"/>
  <c r="E27" i="1"/>
  <c r="G27"/>
  <c r="G28" i="2"/>
  <c r="E30" i="1"/>
  <c r="G30"/>
  <c r="G31" i="2"/>
  <c r="C8" i="3"/>
  <c r="F8"/>
  <c r="K12" i="1"/>
  <c r="C7" i="3"/>
  <c r="F7"/>
  <c r="K11" i="1"/>
  <c r="C6" i="3"/>
  <c r="F6"/>
  <c r="K10" i="1"/>
  <c r="C5" i="3"/>
  <c r="F5"/>
  <c r="K9" i="1"/>
  <c r="F4" i="3"/>
  <c r="G8" i="2"/>
  <c r="K8" i="1"/>
  <c r="K6"/>
  <c r="C1" i="3"/>
  <c r="E6" i="1"/>
  <c r="K2"/>
  <c r="P9"/>
  <c r="P10"/>
  <c r="P11"/>
  <c r="P12"/>
  <c r="P13"/>
  <c r="J24"/>
</calcChain>
</file>

<file path=xl/sharedStrings.xml><?xml version="1.0" encoding="utf-8"?>
<sst xmlns="http://schemas.openxmlformats.org/spreadsheetml/2006/main" count="1377" uniqueCount="697">
  <si>
    <t>Carrying capacity in %</t>
  </si>
  <si>
    <t>carrying capacity in person equivalent</t>
  </si>
  <si>
    <t>Ecological Footprint</t>
  </si>
  <si>
    <t>Consumption</t>
  </si>
  <si>
    <t>1. Households</t>
  </si>
  <si>
    <t>2. Tertiary</t>
  </si>
  <si>
    <t>3. Municipal Buildings</t>
  </si>
  <si>
    <t>4. Public Lighting</t>
  </si>
  <si>
    <t>5. Private Transportation</t>
  </si>
  <si>
    <t>6. Public Transportation</t>
  </si>
  <si>
    <t>7. Tourism</t>
  </si>
  <si>
    <t>Bread Consumption in t per year</t>
  </si>
  <si>
    <t>Sugar Consumption in t per year</t>
  </si>
  <si>
    <t>Butter Consumption in t per year</t>
  </si>
  <si>
    <t>Milk Consumption in t per year</t>
  </si>
  <si>
    <t>Cheese Consumption in t per year</t>
  </si>
  <si>
    <t>Cereals Consumption in t per year</t>
  </si>
  <si>
    <t>Flour Consumption in t per year</t>
  </si>
  <si>
    <t>Pork meat Consumption in t per year</t>
  </si>
  <si>
    <t>Chicken Consumption in t per year</t>
  </si>
  <si>
    <t>Egg Consumption in t per year</t>
  </si>
  <si>
    <t>Fish Consumption in t per year</t>
  </si>
  <si>
    <t>Seafood Consumption in t per year</t>
  </si>
  <si>
    <t>Legumes Consumption in t per year</t>
  </si>
  <si>
    <t>Paper Consumption in t per year</t>
  </si>
  <si>
    <t>Tobacco Consumption in t per year</t>
  </si>
  <si>
    <t>Potatoes Consumption in t per year</t>
  </si>
  <si>
    <t>Beverage Consumption in t per year</t>
  </si>
  <si>
    <t>Vegetable oils Consumption in t per year</t>
  </si>
  <si>
    <t>Biocapacity</t>
  </si>
  <si>
    <t>Population</t>
  </si>
  <si>
    <t>Electricity Consumption in kWh per year</t>
  </si>
  <si>
    <t>Thermal Energy Consumption in kWh per year</t>
  </si>
  <si>
    <t>Cropland Area</t>
  </si>
  <si>
    <t>Grazing Land Area</t>
  </si>
  <si>
    <t>Marine/Inland water Area</t>
  </si>
  <si>
    <t>Infrastructure Area</t>
  </si>
  <si>
    <t>Indicator EF1.1.1</t>
  </si>
  <si>
    <t>Indicator EF1.1.7</t>
  </si>
  <si>
    <t>Indicator EF1.2.1</t>
  </si>
  <si>
    <t>Indicator EF1.2.7</t>
  </si>
  <si>
    <t>Indicator EF1.3.1</t>
  </si>
  <si>
    <t>Indicator EF1.4.1</t>
  </si>
  <si>
    <t>Indicator EF1.5.1</t>
  </si>
  <si>
    <t>Indicator EF1.6.1</t>
  </si>
  <si>
    <t>Indicator EF2.4.1</t>
  </si>
  <si>
    <t>Indicator EF2.5.1</t>
  </si>
  <si>
    <t>km per year passing by private scooter</t>
  </si>
  <si>
    <t>Indicator EF5.5.5</t>
  </si>
  <si>
    <t>km per year passing by private lorry</t>
  </si>
  <si>
    <t xml:space="preserve">km per year passing by private passenger car, diesel </t>
  </si>
  <si>
    <t>km per year passing by private passenger car, petrol</t>
  </si>
  <si>
    <t>km per year passing by public scooter</t>
  </si>
  <si>
    <t>km per year passing by public lorry</t>
  </si>
  <si>
    <t xml:space="preserve">km per year passing by public passenger car, diesel </t>
  </si>
  <si>
    <t>km per year passing by public passenger car, petrol</t>
  </si>
  <si>
    <t>personkm per year passing by train</t>
  </si>
  <si>
    <t>tkm per year passing by ferry boat</t>
  </si>
  <si>
    <t>tkm per year passing by barge tanker</t>
  </si>
  <si>
    <t>personkm per year passing by passenger aircraft</t>
  </si>
  <si>
    <t>tkm per year passing by freight aircraft</t>
  </si>
  <si>
    <t>Subcategories of Ecological Footprint</t>
  </si>
  <si>
    <t>Subcategories of Biocapacity</t>
  </si>
  <si>
    <t>Production</t>
  </si>
  <si>
    <t>1. Cropland Area</t>
  </si>
  <si>
    <t>2. Grazing Land Area</t>
  </si>
  <si>
    <t>3. Marine/Inland water Area</t>
  </si>
  <si>
    <t>5. Infrastructure Area</t>
  </si>
  <si>
    <t>4. Energy Land and Forest Land</t>
  </si>
  <si>
    <t>Area under cultivation and fallow land in ha</t>
  </si>
  <si>
    <t>Pastures in ha</t>
  </si>
  <si>
    <t>Permanent crops in ha</t>
  </si>
  <si>
    <t>Heterogenous agricultural areas in ha</t>
  </si>
  <si>
    <t>Pastures - shrumb and / or herbaceous vegetation associations in ha</t>
  </si>
  <si>
    <t>Pastures - transitional wood land / shrumb in ha</t>
  </si>
  <si>
    <t>Pastures - Open spaces with little or no vegetation in ha</t>
  </si>
  <si>
    <t>Forests and semi-natural ares in ha</t>
  </si>
  <si>
    <t>Forests in ha</t>
  </si>
  <si>
    <t xml:space="preserve"> Transitional wood land / shrumb in ha</t>
  </si>
  <si>
    <t xml:space="preserve"> Area under water in ha</t>
  </si>
  <si>
    <t>Inland waters in ha</t>
  </si>
  <si>
    <t>Inland wetlands in ha</t>
  </si>
  <si>
    <t>Area under cultivation and fallow land that produces energy</t>
  </si>
  <si>
    <t>Areas occupied by the locality (buildings, roads, etc) in ha</t>
  </si>
  <si>
    <t>Urban fabric in ha</t>
  </si>
  <si>
    <t xml:space="preserve"> Industrial and commercial units in ha</t>
  </si>
  <si>
    <t>Transport units in ha</t>
  </si>
  <si>
    <t>Artificial, non agricultural vegetated areas sport and cultural activity sites</t>
  </si>
  <si>
    <t>Description</t>
  </si>
  <si>
    <t>Value</t>
  </si>
  <si>
    <t>Subcategories</t>
  </si>
  <si>
    <t>Values in ha</t>
  </si>
  <si>
    <t>Global Equivalent Factor (EqF)</t>
  </si>
  <si>
    <t>Yield Factor</t>
  </si>
  <si>
    <t>Arable land in ha</t>
  </si>
  <si>
    <t>Values in Gha</t>
  </si>
  <si>
    <t>value</t>
  </si>
  <si>
    <t>Subcategories of Population</t>
  </si>
  <si>
    <t>Residents' population</t>
  </si>
  <si>
    <t>Tertiary buildings' population</t>
  </si>
  <si>
    <t xml:space="preserve">Municipal buildings' population </t>
  </si>
  <si>
    <t xml:space="preserve">Private transportation's population </t>
  </si>
  <si>
    <t>Public transportation's population</t>
  </si>
  <si>
    <t>Indicator P 1.1</t>
  </si>
  <si>
    <t>number of adults residents</t>
  </si>
  <si>
    <t>number of  minors residents</t>
  </si>
  <si>
    <t>Indicator P 2.1</t>
  </si>
  <si>
    <t>Indicator P 2.2</t>
  </si>
  <si>
    <t>Indicator P 3.1</t>
  </si>
  <si>
    <t>Indicator P 4.1</t>
  </si>
  <si>
    <t>Indicator P 5.1</t>
  </si>
  <si>
    <t>Indicator P 5.2</t>
  </si>
  <si>
    <t>Indicator P 6.1</t>
  </si>
  <si>
    <t>Indicator P 6.2</t>
  </si>
  <si>
    <t>Indicator P 7.1</t>
  </si>
  <si>
    <t>number of adults tourists</t>
  </si>
  <si>
    <t>number of  minors tourists</t>
  </si>
  <si>
    <t>Beef meat Consumption in t per year</t>
  </si>
  <si>
    <t>Sausages Consumption in t per year</t>
  </si>
  <si>
    <t>Rice consumption in t per year</t>
  </si>
  <si>
    <t>km per year passing by scooter</t>
  </si>
  <si>
    <t>km per year passing by lorry</t>
  </si>
  <si>
    <t xml:space="preserve">km per year passing by passenger car, diesel </t>
  </si>
  <si>
    <t>km per year passing by passenger car, petrol</t>
  </si>
  <si>
    <t>Built-up areas</t>
  </si>
  <si>
    <t>1 Agricultural products</t>
  </si>
  <si>
    <t>Gha/t/y</t>
  </si>
  <si>
    <t>Gha</t>
  </si>
  <si>
    <t>2 Livestock products</t>
  </si>
  <si>
    <t>4 Timber products</t>
  </si>
  <si>
    <t>5 CO2 emissions</t>
  </si>
  <si>
    <t xml:space="preserve">Cropland EqF </t>
  </si>
  <si>
    <t>6 Built-up surfaces</t>
  </si>
  <si>
    <t>Gha/kWh or km or personkm or tkm</t>
  </si>
  <si>
    <t>Indicator EF1.7.1</t>
  </si>
  <si>
    <t>Indicator EF1.8.1</t>
  </si>
  <si>
    <t>Indicator EF1.9.1</t>
  </si>
  <si>
    <t>Indicator EF1.10.1</t>
  </si>
  <si>
    <t>Indicator EF1.11.1</t>
  </si>
  <si>
    <t>Indicator EF2.1.1</t>
  </si>
  <si>
    <t>Indicator EF2.2.1</t>
  </si>
  <si>
    <t>Indicator EF2.3.1</t>
  </si>
  <si>
    <t>Indicator EF2.3.7</t>
  </si>
  <si>
    <t>Indicator EF2.6.1</t>
  </si>
  <si>
    <t>Indicator EF2.7.1</t>
  </si>
  <si>
    <t>Indicator EF2.8.1</t>
  </si>
  <si>
    <t>Indicator EF3.1.1</t>
  </si>
  <si>
    <t>Indicator EF3.2.1</t>
  </si>
  <si>
    <t>Indicator EF4.1.1</t>
  </si>
  <si>
    <t>Indicator EF5.1.1</t>
  </si>
  <si>
    <t>Indicator EF5.2.1</t>
  </si>
  <si>
    <t>Indicator code</t>
  </si>
  <si>
    <t>value in t/y</t>
  </si>
  <si>
    <t>Indicator EF5.1.2</t>
  </si>
  <si>
    <t>Indicator EF5.2.2</t>
  </si>
  <si>
    <t>Indicator EF5.1.3</t>
  </si>
  <si>
    <t>Indicator EF5.2.3</t>
  </si>
  <si>
    <t>Indicator EF5.1.4</t>
  </si>
  <si>
    <t>Indicator EF5.3.5</t>
  </si>
  <si>
    <t>Indicator EF5.4.5</t>
  </si>
  <si>
    <t>Indicator EF5.6.5</t>
  </si>
  <si>
    <t>Indicator EF5.3.6</t>
  </si>
  <si>
    <t>Indicator EF5.4.6</t>
  </si>
  <si>
    <t>Indicator EF5.5.6</t>
  </si>
  <si>
    <t>Indicator EF5.6.6</t>
  </si>
  <si>
    <t>Indicator EF5.7.6</t>
  </si>
  <si>
    <t>Indicator EF5.8.6</t>
  </si>
  <si>
    <t>Indicator EF5.9.6</t>
  </si>
  <si>
    <t>Indicator EF5.10.6</t>
  </si>
  <si>
    <t>Indicator EF5.11.6</t>
  </si>
  <si>
    <t>Indicator EF5.12.6</t>
  </si>
  <si>
    <t>5. CO2 emissions</t>
  </si>
  <si>
    <t>1. Agricultural products</t>
  </si>
  <si>
    <t>2. Livestock products</t>
  </si>
  <si>
    <t>4. Timber products</t>
  </si>
  <si>
    <t>Indicator EF1.3.7</t>
  </si>
  <si>
    <t>Indicator EF1.4.7</t>
  </si>
  <si>
    <t>Indicator EF1.5.7</t>
  </si>
  <si>
    <t>Indicator EF1.6.7</t>
  </si>
  <si>
    <t>Indicator EF1.7.7</t>
  </si>
  <si>
    <t>Indicator EF1.8.7</t>
  </si>
  <si>
    <t>Indicator EF1.9.7</t>
  </si>
  <si>
    <t>Indicator EF1.10.7</t>
  </si>
  <si>
    <t>Indicator EF1.11.7</t>
  </si>
  <si>
    <t>Indicator EF1.12.7</t>
  </si>
  <si>
    <t>Indicator EF2.1.7</t>
  </si>
  <si>
    <t>Indicator EF2.2.7</t>
  </si>
  <si>
    <t>Indicator EF2.4.7</t>
  </si>
  <si>
    <t>Indicator EF2.5.7</t>
  </si>
  <si>
    <t>Indicator EF2.6.7</t>
  </si>
  <si>
    <t>Indicator EF2.7.7</t>
  </si>
  <si>
    <t>Indicator EF2.8.7</t>
  </si>
  <si>
    <t>Indicator EF3.1.7</t>
  </si>
  <si>
    <t>Indicator EF3.2.7</t>
  </si>
  <si>
    <t>Indicator EF5.1.7</t>
  </si>
  <si>
    <t>Indicator EF5.2.7</t>
  </si>
  <si>
    <t>Gha/kwh</t>
  </si>
  <si>
    <t>Gha/km</t>
  </si>
  <si>
    <t>Gha/km or personkm or tkm</t>
  </si>
  <si>
    <t>Indicator EF1.1</t>
  </si>
  <si>
    <t>Indicator EF1.2</t>
  </si>
  <si>
    <t>Indicator EF1.3</t>
  </si>
  <si>
    <t>Indicator EF1.4</t>
  </si>
  <si>
    <t>Indicator EF1.5</t>
  </si>
  <si>
    <t>Indicator EF1.6</t>
  </si>
  <si>
    <t>Indicator EF1.7</t>
  </si>
  <si>
    <t>Indicator EF1.8</t>
  </si>
  <si>
    <t>Indicator EF1.9</t>
  </si>
  <si>
    <t>Indicator EF1.10</t>
  </si>
  <si>
    <t>Indicator EF1.11</t>
  </si>
  <si>
    <t xml:space="preserve">Indicator EF2.1 </t>
  </si>
  <si>
    <t>Indicator EF2.2</t>
  </si>
  <si>
    <t>Indicator EF2.3</t>
  </si>
  <si>
    <t>Indicator EF2.4</t>
  </si>
  <si>
    <t>Indicator EF2.5</t>
  </si>
  <si>
    <t>Indicator EF2.6</t>
  </si>
  <si>
    <t>Indicator EF2.8</t>
  </si>
  <si>
    <t>Indicator EF2.9</t>
  </si>
  <si>
    <t>Indicator EF3.1</t>
  </si>
  <si>
    <t>Indicator EF3.2</t>
  </si>
  <si>
    <t>Indicator EF4.1</t>
  </si>
  <si>
    <t>Indicator EF5.1</t>
  </si>
  <si>
    <t>Indicator EF5.2</t>
  </si>
  <si>
    <t>Indicator EF5.3</t>
  </si>
  <si>
    <t>Indicator EF5.4</t>
  </si>
  <si>
    <t>Indicator EF5.5</t>
  </si>
  <si>
    <t>Indicator EF5.6</t>
  </si>
  <si>
    <t>Indicator EF5.7</t>
  </si>
  <si>
    <t>Indicator EF5.8</t>
  </si>
  <si>
    <t>Indicator EF5.9</t>
  </si>
  <si>
    <t>Indicator EF5.10</t>
  </si>
  <si>
    <t>Indicator EF5.11</t>
  </si>
  <si>
    <t>Indicator EF5.12</t>
  </si>
  <si>
    <t>Indicator EF 6.1</t>
  </si>
  <si>
    <t>Indicator EF2.7</t>
  </si>
  <si>
    <t>Indicator P 5.3</t>
  </si>
  <si>
    <t>number of private passsenger cars moving on highway</t>
  </si>
  <si>
    <t>km per year passing by regular bus</t>
  </si>
  <si>
    <t>5. Private transportation</t>
  </si>
  <si>
    <t>Sectors</t>
  </si>
  <si>
    <t>Indicator EF 1.1.1</t>
  </si>
  <si>
    <t>Indicator EF 1.1.7</t>
  </si>
  <si>
    <t xml:space="preserve">Indicator EF2.1.1 </t>
  </si>
  <si>
    <t>Subcategories of EF</t>
  </si>
  <si>
    <t>Head Indicators</t>
  </si>
  <si>
    <t>number of hotels build before 1980</t>
  </si>
  <si>
    <t>number of hotels build between 1981-2001</t>
  </si>
  <si>
    <t>number of hotels build after 2002</t>
  </si>
  <si>
    <t>number of schools build before 1980</t>
  </si>
  <si>
    <t>number of schools build between 1981-2001</t>
  </si>
  <si>
    <t>number of schools build after 2002</t>
  </si>
  <si>
    <t>number of offices/commercial buildings build before 1980</t>
  </si>
  <si>
    <t>number of offices/commercial buildings build between 1981-2001</t>
  </si>
  <si>
    <t>number of healthcare buildings build before 1980</t>
  </si>
  <si>
    <t>number of healthcare buildings build between 1981-2001</t>
  </si>
  <si>
    <t>number of healthcare buildings build after 2002</t>
  </si>
  <si>
    <t>number of offices/commercial buildings build after 2002</t>
  </si>
  <si>
    <t>number of private passsenger cars moving on local roads</t>
  </si>
  <si>
    <t>number of private scooters moving on local roads</t>
  </si>
  <si>
    <t>number of public passsenger cars moving on local roads</t>
  </si>
  <si>
    <t>number of public scooters moving on local roads</t>
  </si>
  <si>
    <t>Indicator P 6.3</t>
  </si>
  <si>
    <t>Indicator P 6.4</t>
  </si>
  <si>
    <t>Indicator P 6.5</t>
  </si>
  <si>
    <t>number of private lorries moving on local roads</t>
  </si>
  <si>
    <t>number of private lorries moving on highway</t>
  </si>
  <si>
    <t>number of public lorries moving on local roads</t>
  </si>
  <si>
    <t>Indicator P 6.6</t>
  </si>
  <si>
    <t>Indicator P 6.7</t>
  </si>
  <si>
    <t>Indicator P 6.8</t>
  </si>
  <si>
    <t>t loaded or/and unloaded from or/and to barge tanker in each port</t>
  </si>
  <si>
    <t>km boarding in each port</t>
  </si>
  <si>
    <t>Value 1</t>
  </si>
  <si>
    <t>Value 2</t>
  </si>
  <si>
    <t>t unloaded from airplane in each airport</t>
  </si>
  <si>
    <t>t loaded to airplane in each airport</t>
  </si>
  <si>
    <t>value in kwh or km or personkm or tkm</t>
  </si>
  <si>
    <t>value in ha</t>
  </si>
  <si>
    <t>Value in ha</t>
  </si>
  <si>
    <t xml:space="preserve">2. Tertiary </t>
  </si>
  <si>
    <t>3. Municipal buildings</t>
  </si>
  <si>
    <t>4. Public lighting</t>
  </si>
  <si>
    <t>6. Public transportation</t>
  </si>
  <si>
    <t>Input code</t>
  </si>
  <si>
    <t>Input 1.1</t>
  </si>
  <si>
    <t>Input 1.2</t>
  </si>
  <si>
    <t>Input 1.3</t>
  </si>
  <si>
    <t>Input 1.4</t>
  </si>
  <si>
    <t>Input 1.5</t>
  </si>
  <si>
    <t>Input 1.6</t>
  </si>
  <si>
    <t>Input 1.7</t>
  </si>
  <si>
    <t>Input 1.8</t>
  </si>
  <si>
    <t>Input 2.1</t>
  </si>
  <si>
    <t>Input 2.2</t>
  </si>
  <si>
    <t>Input 2.3</t>
  </si>
  <si>
    <t>Input 2.4</t>
  </si>
  <si>
    <t>Input 2.5</t>
  </si>
  <si>
    <t>Input 2.6</t>
  </si>
  <si>
    <t>Input 3.1</t>
  </si>
  <si>
    <t>Input 3.2</t>
  </si>
  <si>
    <t>Input 3.3</t>
  </si>
  <si>
    <t>Input 4.1</t>
  </si>
  <si>
    <t>Input 5.1</t>
  </si>
  <si>
    <t>Input 5.2</t>
  </si>
  <si>
    <t>Input 5.3</t>
  </si>
  <si>
    <t>Input 5.4</t>
  </si>
  <si>
    <t>Input 5.5</t>
  </si>
  <si>
    <t>Input 5.6</t>
  </si>
  <si>
    <t>Input 6.1</t>
  </si>
  <si>
    <t>Input 6.2</t>
  </si>
  <si>
    <t>Input 6.3</t>
  </si>
  <si>
    <t>Input 6.4</t>
  </si>
  <si>
    <t>Input 6.5</t>
  </si>
  <si>
    <t>Input 6.6</t>
  </si>
  <si>
    <t>Input 6.7</t>
  </si>
  <si>
    <t>Input 6.8</t>
  </si>
  <si>
    <t>Input 6.9</t>
  </si>
  <si>
    <t>Input 6.10</t>
  </si>
  <si>
    <t>Input 6.11</t>
  </si>
  <si>
    <t>Input 6.12</t>
  </si>
  <si>
    <t>Input 6.13</t>
  </si>
  <si>
    <t>Input 6.14</t>
  </si>
  <si>
    <t>Input 6.15</t>
  </si>
  <si>
    <t>Input 6.16</t>
  </si>
  <si>
    <t>Input 6.17</t>
  </si>
  <si>
    <t>Input 6.18</t>
  </si>
  <si>
    <t>Input 6.19</t>
  </si>
  <si>
    <t>Input 7.1</t>
  </si>
  <si>
    <t>Input 7.2</t>
  </si>
  <si>
    <t>Input 7.3</t>
  </si>
  <si>
    <t>Input 7.4</t>
  </si>
  <si>
    <t>Input 7.5</t>
  </si>
  <si>
    <t>squared meters of offices/commercial buildings</t>
  </si>
  <si>
    <t>squared meters of healthcare buildings</t>
  </si>
  <si>
    <t>number of residents</t>
  </si>
  <si>
    <t>squared meters of schools</t>
  </si>
  <si>
    <t>tkm per year passing by boat</t>
  </si>
  <si>
    <t>number of tourists</t>
  </si>
  <si>
    <t>km passing by private passenger cars</t>
  </si>
  <si>
    <t>km passing by private scooters</t>
  </si>
  <si>
    <t>km passing by private lorries</t>
  </si>
  <si>
    <t>km passing by public passsenger cars</t>
  </si>
  <si>
    <t>km passing by public scooters</t>
  </si>
  <si>
    <t>km passing by public lorries</t>
  </si>
  <si>
    <t>km passing by regular bus</t>
  </si>
  <si>
    <t>passenger cars loaded in ferry boat in each port</t>
  </si>
  <si>
    <t>passengers loaded in ferry boat in each port</t>
  </si>
  <si>
    <t>lorries loaded in ferry boat in each port</t>
  </si>
  <si>
    <t>scooters loaded in ferry boat in each port</t>
  </si>
  <si>
    <t>Energy Land and Forest Land</t>
  </si>
  <si>
    <t>installed power for public lighting in kw</t>
  </si>
  <si>
    <t>Indicator EF X.Υ</t>
  </si>
  <si>
    <t xml:space="preserve">where EF stand for Ecological Footprint </t>
  </si>
  <si>
    <t>X refers to the Ecological Footprint's  subcategory</t>
  </si>
  <si>
    <t>Y refers to the numbering of the indicators</t>
  </si>
  <si>
    <t xml:space="preserve">Automatically generated acording </t>
  </si>
  <si>
    <t>to tab Biocapacity</t>
  </si>
  <si>
    <t>to tab Population</t>
  </si>
  <si>
    <t xml:space="preserve">Everything will be automatically generated </t>
  </si>
  <si>
    <t>according to tab Ecological Footprint</t>
  </si>
  <si>
    <t>Indicator EF X.Y.Z</t>
  </si>
  <si>
    <t>To be discussed with EKBY during the meeting</t>
  </si>
  <si>
    <t xml:space="preserve">where EF stands for Ecological Footprint </t>
  </si>
  <si>
    <t>Z refers to the sector under evaluation</t>
  </si>
  <si>
    <t>X refers to the Ecological Footprint's subcategory</t>
  </si>
  <si>
    <t>5 CO2 emissions (Carbon Footprint)</t>
  </si>
  <si>
    <t>Here we need to find better Yield factors (more representive for GR) if available - to be discussed with EKBY</t>
  </si>
  <si>
    <t>Indicator BC X.Y</t>
  </si>
  <si>
    <t>where BC stands for Biocapacity</t>
  </si>
  <si>
    <t>X refers to the Biocapacity's subcategory</t>
  </si>
  <si>
    <t>Y refers to the numbering of indicators</t>
  </si>
  <si>
    <t>Indicator BC 1.1</t>
  </si>
  <si>
    <t>Indicator BC 1.1.1</t>
  </si>
  <si>
    <t>Indicator BC 1.1.2</t>
  </si>
  <si>
    <t>Indicator BC 1.1.3</t>
  </si>
  <si>
    <t>If there are no data available for calculating head indicator, then calculate the semi-indicators and summarise to find the head indicator of each land cover</t>
  </si>
  <si>
    <t>Indicator BC 2.1.1</t>
  </si>
  <si>
    <t>Indicator BC 2.1.2</t>
  </si>
  <si>
    <t>Indicator BC 2.1.3</t>
  </si>
  <si>
    <t>Indicator BC 2.1</t>
  </si>
  <si>
    <t>Indicator BC 3.1</t>
  </si>
  <si>
    <t>Indicator BC 3.1.1</t>
  </si>
  <si>
    <t>Indicator BC 3.1.2</t>
  </si>
  <si>
    <t>Indicator BC 3.1.3</t>
  </si>
  <si>
    <t>Coastal wetlands in ha</t>
  </si>
  <si>
    <t>Indicator BC 4.1</t>
  </si>
  <si>
    <t>Indicator BC 4.2</t>
  </si>
  <si>
    <t>Indicator BC 4.1.1</t>
  </si>
  <si>
    <t>Indicator BC 4.1.2</t>
  </si>
  <si>
    <t>Indicator BC 5.1</t>
  </si>
  <si>
    <t>Indicator BC 5.1.1</t>
  </si>
  <si>
    <t>Indicator BC 5.1.2</t>
  </si>
  <si>
    <t>Indicator BC 5.1.3</t>
  </si>
  <si>
    <t>Indicator BC 5.1.4</t>
  </si>
  <si>
    <t>Indicator BC 5.1.5</t>
  </si>
  <si>
    <t>Mine , dump and construction sites</t>
  </si>
  <si>
    <t>where P stand for Population</t>
  </si>
  <si>
    <t>Indicator P X.Y</t>
  </si>
  <si>
    <t>X refers to the population subcategories</t>
  </si>
  <si>
    <t>Y refers to the numbering the indicators</t>
  </si>
  <si>
    <t>Z refers to the sector under examination</t>
  </si>
  <si>
    <t>In here all the indicators that are estimated AUTOMATICALLY by the METHODOLOGY are summarized</t>
  </si>
  <si>
    <t>LB (Ilias to adapt Carbon Footprint Estimations to those inputs)</t>
  </si>
  <si>
    <t>Input X.Y</t>
  </si>
  <si>
    <t>where X refers to the sector under examination</t>
  </si>
  <si>
    <t>3 Fishery and Aquaculture products</t>
  </si>
  <si>
    <t>3. Fishery &amp; Aquaculture products</t>
  </si>
  <si>
    <t>3 Fishery &amp; Aquaculture products</t>
  </si>
  <si>
    <t>Installed power for public lighting in kW</t>
  </si>
  <si>
    <t>surface (m2) of single dwellings build before 1980</t>
  </si>
  <si>
    <t>surface (m2) of single dwellings build between 1981-2001</t>
  </si>
  <si>
    <t>surface (m2) of single dwellings build after 2002</t>
  </si>
  <si>
    <t>surface (m2) of  apartment buildings build before 1980</t>
  </si>
  <si>
    <t>surface (m2) of apartment buildings build between 1981-2001</t>
  </si>
  <si>
    <t>surface (m2) of apartment buildings build after 2002</t>
  </si>
  <si>
    <t>km of highway set within the boundaries of protected area</t>
  </si>
  <si>
    <t>buses loaded in ferry boat in each port</t>
  </si>
  <si>
    <t>km passing by bus within the boundaries of protected area</t>
  </si>
  <si>
    <t>km of local railway set within the boundaries of the protected area</t>
  </si>
  <si>
    <t>number of annual passengers moving by train on local railway</t>
  </si>
  <si>
    <t>km passing by airplane during landing in each airport</t>
  </si>
  <si>
    <t>number of passengers arrived by airplane in each airport</t>
  </si>
  <si>
    <t>number of passengers left by airplane in each airport</t>
  </si>
  <si>
    <t>Fruits and Vegetables Consumption in t per year</t>
  </si>
  <si>
    <t>Assumption code</t>
  </si>
  <si>
    <t>Average weight of adults residents</t>
  </si>
  <si>
    <t>units</t>
  </si>
  <si>
    <t>kg</t>
  </si>
  <si>
    <t>Assumption  X.Y.Z</t>
  </si>
  <si>
    <t>Assumption EF G.1.1</t>
  </si>
  <si>
    <t>X refers to the Ecological Footprint's subcategory or it is G for General Assumption of each sector</t>
  </si>
  <si>
    <t>Y refers to the numbering of the assumptions</t>
  </si>
  <si>
    <t>Assumption EF G.1.2</t>
  </si>
  <si>
    <t>Assumption EF G.1.3</t>
  </si>
  <si>
    <t>Average weight of minors residents</t>
  </si>
  <si>
    <t>Days of consumption for the residents</t>
  </si>
  <si>
    <t>days</t>
  </si>
  <si>
    <t>average consumption of bread and rolls in g per kg of human mass per day</t>
  </si>
  <si>
    <t>g/kg/d</t>
  </si>
  <si>
    <t>(31,1g/kg/d for fruits and 22,8 g/kg/d for vegetables)</t>
  </si>
  <si>
    <t xml:space="preserve">average consumption of grain milling products in g per kg of human mass per day </t>
  </si>
  <si>
    <t>average consumption of potatoes and potatoes products in g per kg of human mass per day</t>
  </si>
  <si>
    <t xml:space="preserve">average consumption of sugars per kg of human mass per day </t>
  </si>
  <si>
    <t xml:space="preserve">average consumption of breakfast cereals per kg of human mass per day </t>
  </si>
  <si>
    <t>average consumption of legumes, beans, dried per kg of human mass per day</t>
  </si>
  <si>
    <t>average consumption of fruits (citrus, pome, stone, berries and small fruits, miscellaneous, dried fruits, jam, marmalade and other fruits spreads, other fruits products (excluding beverages)) and vegetables and vegetables products (including fungi, root, bulb, fruiting, brassica, leaf, legume and stem vegetables) in g per kg of human mass per day</t>
  </si>
  <si>
    <t>% smokers in Greece</t>
  </si>
  <si>
    <t>%</t>
  </si>
  <si>
    <t xml:space="preserve">average consumption of tobacco per day in Greece </t>
  </si>
  <si>
    <t>g/d</t>
  </si>
  <si>
    <t xml:space="preserve">average consumption of rice-based meals per kg of human mass per day </t>
  </si>
  <si>
    <t xml:space="preserve">average consumption of vegetables fats and oils per kg of human mass per day </t>
  </si>
  <si>
    <t>average consumption of livestock meat (mostly pork) per kg of human mass per day</t>
  </si>
  <si>
    <t xml:space="preserve">average consumption of farmed animals (mostly beef) per kg of human mass per day </t>
  </si>
  <si>
    <t>average consumption of sausages per kg of human mass per day</t>
  </si>
  <si>
    <t xml:space="preserve">average consumption of poultry in g per kg of human mass per day </t>
  </si>
  <si>
    <t xml:space="preserve">average consumption of eggs per kg of human mass per day </t>
  </si>
  <si>
    <t xml:space="preserve">average consumption of liquid and concentrated milk and milk based beverages per kg of human mass per day </t>
  </si>
  <si>
    <t xml:space="preserve">average consumption of cheese per kg of human mass per day </t>
  </si>
  <si>
    <t xml:space="preserve">average consumption of  animals fat, margarine and similar products per kg of human mass per day </t>
  </si>
  <si>
    <t xml:space="preserve">average consumption of fish meat per kg of human mass per day </t>
  </si>
  <si>
    <t xml:space="preserve">average consumption of crustaceans, water mollusks, amphibians, reptiles, snails and insects per kg of human mass per day </t>
  </si>
  <si>
    <t>average consumption of  paper and board per capita in Greece per year</t>
  </si>
  <si>
    <t>kg/cap</t>
  </si>
  <si>
    <r>
      <t>average thermal energy consumption per m</t>
    </r>
    <r>
      <rPr>
        <vertAlign val="superscript"/>
        <sz val="12"/>
        <color theme="1"/>
        <rFont val="Calibri"/>
        <family val="2"/>
        <charset val="161"/>
        <scheme val="minor"/>
      </rPr>
      <t>2</t>
    </r>
    <r>
      <rPr>
        <sz val="12"/>
        <color theme="1"/>
        <rFont val="Calibri"/>
        <family val="2"/>
        <scheme val="minor"/>
      </rPr>
      <t xml:space="preserve"> for single dwellings 1980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</si>
  <si>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single dwellings 2001</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</si>
  <si>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single dwellings 2010</t>
    </r>
  </si>
  <si>
    <r>
      <t>average thermal energy consumption per m</t>
    </r>
    <r>
      <rPr>
        <vertAlign val="superscript"/>
        <sz val="12"/>
        <color theme="1"/>
        <rFont val="Calibri"/>
        <family val="2"/>
        <charset val="161"/>
        <scheme val="minor"/>
      </rPr>
      <t xml:space="preserve">2 </t>
    </r>
    <r>
      <rPr>
        <sz val="12"/>
        <color theme="1"/>
        <rFont val="Calibri"/>
        <family val="2"/>
        <scheme val="minor"/>
      </rPr>
      <t>for apartment buildings 1980</t>
    </r>
  </si>
  <si>
    <r>
      <t>average thermalenergy consumption per m</t>
    </r>
    <r>
      <rPr>
        <vertAlign val="superscript"/>
        <sz val="12"/>
        <color theme="1"/>
        <rFont val="Calibri"/>
        <family val="2"/>
        <charset val="161"/>
        <scheme val="minor"/>
      </rPr>
      <t>2</t>
    </r>
    <r>
      <rPr>
        <sz val="12"/>
        <color theme="1"/>
        <rFont val="Calibri"/>
        <family val="2"/>
        <scheme val="minor"/>
      </rPr>
      <t>for apartment buildings 2001</t>
    </r>
  </si>
  <si>
    <r>
      <t>average thermal energy consumption per m</t>
    </r>
    <r>
      <rPr>
        <vertAlign val="superscript"/>
        <sz val="12"/>
        <color theme="1"/>
        <rFont val="Calibri"/>
        <family val="2"/>
        <charset val="161"/>
        <scheme val="minor"/>
      </rPr>
      <t>2</t>
    </r>
    <r>
      <rPr>
        <sz val="12"/>
        <color theme="1"/>
        <rFont val="Calibri"/>
        <family val="2"/>
        <scheme val="minor"/>
      </rPr>
      <t>for apartment buildings 2010</t>
    </r>
  </si>
  <si>
    <r>
      <t>kWh/m</t>
    </r>
    <r>
      <rPr>
        <vertAlign val="superscript"/>
        <sz val="12"/>
        <color theme="1"/>
        <rFont val="Calibri"/>
        <family val="2"/>
        <charset val="161"/>
        <scheme val="minor"/>
      </rPr>
      <t>2</t>
    </r>
  </si>
  <si>
    <r>
      <t>kWh/m</t>
    </r>
    <r>
      <rPr>
        <vertAlign val="superscript"/>
        <sz val="12"/>
        <color theme="1"/>
        <rFont val="Calibri"/>
        <family val="2"/>
        <charset val="161"/>
        <scheme val="minor"/>
      </rPr>
      <t>2</t>
    </r>
    <r>
      <rPr>
        <sz val="11"/>
        <color theme="1"/>
        <rFont val="Calibri"/>
        <family val="2"/>
        <charset val="161"/>
        <scheme val="minor"/>
      </rPr>
      <t/>
    </r>
  </si>
  <si>
    <t>Assumption EF1.1.1</t>
  </si>
  <si>
    <t>Assumption EF1.2.1</t>
  </si>
  <si>
    <t>Assumption EF1.3.1</t>
  </si>
  <si>
    <t>Assumption EF1.4.1</t>
  </si>
  <si>
    <t>Assumption EF1.5.1</t>
  </si>
  <si>
    <t>Assumption EF1.6.1</t>
  </si>
  <si>
    <t>Assumption EF1.7.1</t>
  </si>
  <si>
    <t>Assumption EF1.8.1</t>
  </si>
  <si>
    <t>Assumption EF1.10.1</t>
  </si>
  <si>
    <t>Assumption EF1.11.1</t>
  </si>
  <si>
    <t>Assumption EF2.1.1</t>
  </si>
  <si>
    <t>Assumption EF2.2.1</t>
  </si>
  <si>
    <t>Assumption EF2.3.1</t>
  </si>
  <si>
    <t>Assumption EF2.4.1</t>
  </si>
  <si>
    <t>Assumption EF2.5.1</t>
  </si>
  <si>
    <t>Assumption EF2.6.1</t>
  </si>
  <si>
    <t>Assumption EF2.7.1</t>
  </si>
  <si>
    <t>Assumption EF2.8.1</t>
  </si>
  <si>
    <t>Assumption EF3.1.1</t>
  </si>
  <si>
    <t>Assumption EF3.2.1</t>
  </si>
  <si>
    <t>Assumption EF1.9.1a</t>
  </si>
  <si>
    <t>Assumption EF1.9.1b</t>
  </si>
  <si>
    <t>Assumption EF4.1.1</t>
  </si>
  <si>
    <t>Assumption EF5.1.1a</t>
  </si>
  <si>
    <t>Assumption EF5.1.1b</t>
  </si>
  <si>
    <t>Assumption EF5.1.1c</t>
  </si>
  <si>
    <t>Assumption EF5.1.1d</t>
  </si>
  <si>
    <t>Assumption EF5.1.1e</t>
  </si>
  <si>
    <t>Assumption EF5.1.1f</t>
  </si>
  <si>
    <t>Assumption EF5.2.1a</t>
  </si>
  <si>
    <t>Assumption EF5.2.1b</t>
  </si>
  <si>
    <t>Assumption EF5.2.1c</t>
  </si>
  <si>
    <t>Assumption EF5.2.1d</t>
  </si>
  <si>
    <t>Assumption EF5.2.1e</t>
  </si>
  <si>
    <t>Assumption EF5.2.1f</t>
  </si>
  <si>
    <t>General</t>
  </si>
  <si>
    <t>Assumption EF5.1.2a</t>
  </si>
  <si>
    <t>Assumption EF5.2.2a</t>
  </si>
  <si>
    <r>
      <t>average thermal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1980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</si>
  <si>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2001</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</si>
  <si>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2010</t>
    </r>
  </si>
  <si>
    <r>
      <t>average thermal energy consumption per m</t>
    </r>
    <r>
      <rPr>
        <vertAlign val="superscript"/>
        <sz val="12"/>
        <color theme="1"/>
        <rFont val="Calibri"/>
        <family val="2"/>
        <charset val="161"/>
        <scheme val="minor"/>
      </rPr>
      <t xml:space="preserve">2 </t>
    </r>
    <r>
      <rPr>
        <sz val="12"/>
        <color theme="1"/>
        <rFont val="Calibri"/>
        <family val="2"/>
        <scheme val="minor"/>
      </rPr>
      <t>for healthcare buildings 1980</t>
    </r>
  </si>
  <si>
    <r>
      <t>average thermalenergy consumption per m</t>
    </r>
    <r>
      <rPr>
        <vertAlign val="superscript"/>
        <sz val="12"/>
        <color theme="1"/>
        <rFont val="Calibri"/>
        <family val="2"/>
        <charset val="161"/>
        <scheme val="minor"/>
      </rPr>
      <t>2</t>
    </r>
    <r>
      <rPr>
        <sz val="12"/>
        <color theme="1"/>
        <rFont val="Calibri"/>
        <family val="2"/>
        <scheme val="minor"/>
      </rPr>
      <t>for  healthcare buildings 2001</t>
    </r>
  </si>
  <si>
    <r>
      <t>average thermal energy consumption per m</t>
    </r>
    <r>
      <rPr>
        <vertAlign val="superscript"/>
        <sz val="12"/>
        <color theme="1"/>
        <rFont val="Calibri"/>
        <family val="2"/>
        <charset val="161"/>
        <scheme val="minor"/>
      </rPr>
      <t>2</t>
    </r>
    <r>
      <rPr>
        <sz val="12"/>
        <color theme="1"/>
        <rFont val="Calibri"/>
        <family val="2"/>
        <scheme val="minor"/>
      </rPr>
      <t>for  healthcare buildings 2010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</si>
  <si>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single dwellings 1980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</si>
  <si>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single dwellings 2010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</si>
  <si>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single dwellings 2001</t>
    </r>
  </si>
  <si>
    <r>
      <t>average electrical energy consumption per m</t>
    </r>
    <r>
      <rPr>
        <vertAlign val="superscript"/>
        <sz val="12"/>
        <color theme="1"/>
        <rFont val="Calibri"/>
        <family val="2"/>
        <charset val="161"/>
        <scheme val="minor"/>
      </rPr>
      <t>2</t>
    </r>
    <r>
      <rPr>
        <sz val="12"/>
        <color theme="1"/>
        <rFont val="Calibri"/>
        <family val="2"/>
        <scheme val="minor"/>
      </rPr>
      <t>for apartment buildings 2001</t>
    </r>
  </si>
  <si>
    <r>
      <t>average electrical energy consumption per m</t>
    </r>
    <r>
      <rPr>
        <vertAlign val="superscript"/>
        <sz val="12"/>
        <color theme="1"/>
        <rFont val="Calibri"/>
        <family val="2"/>
        <charset val="161"/>
        <scheme val="minor"/>
      </rPr>
      <t>2</t>
    </r>
    <r>
      <rPr>
        <sz val="12"/>
        <color theme="1"/>
        <rFont val="Calibri"/>
        <family val="2"/>
        <scheme val="minor"/>
      </rPr>
      <t>for apartment buildings 2010</t>
    </r>
  </si>
  <si>
    <r>
      <t>average electrical energy consumption per m</t>
    </r>
    <r>
      <rPr>
        <vertAlign val="superscript"/>
        <sz val="12"/>
        <color theme="1"/>
        <rFont val="Calibri"/>
        <family val="2"/>
        <charset val="161"/>
        <scheme val="minor"/>
      </rPr>
      <t xml:space="preserve">2 </t>
    </r>
    <r>
      <rPr>
        <sz val="12"/>
        <color theme="1"/>
        <rFont val="Calibri"/>
        <family val="2"/>
        <scheme val="minor"/>
      </rPr>
      <t>for apartment buildings 1980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</si>
  <si>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1980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</si>
  <si>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2001</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</si>
  <si>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offices/comercial buildings 2010</t>
    </r>
  </si>
  <si>
    <r>
      <t>average electrical energy consumption per m</t>
    </r>
    <r>
      <rPr>
        <vertAlign val="superscript"/>
        <sz val="12"/>
        <color theme="1"/>
        <rFont val="Calibri"/>
        <family val="2"/>
        <charset val="161"/>
        <scheme val="minor"/>
      </rPr>
      <t xml:space="preserve">2 </t>
    </r>
    <r>
      <rPr>
        <sz val="12"/>
        <color theme="1"/>
        <rFont val="Calibri"/>
        <family val="2"/>
        <scheme val="minor"/>
      </rPr>
      <t>for healthcare buildings 2001</t>
    </r>
  </si>
  <si>
    <r>
      <t>average electrical energy consumption per m</t>
    </r>
    <r>
      <rPr>
        <vertAlign val="superscript"/>
        <sz val="12"/>
        <color theme="1"/>
        <rFont val="Calibri"/>
        <family val="2"/>
        <charset val="161"/>
        <scheme val="minor"/>
      </rPr>
      <t xml:space="preserve">2 </t>
    </r>
    <r>
      <rPr>
        <sz val="12"/>
        <color theme="1"/>
        <rFont val="Calibri"/>
        <family val="2"/>
        <scheme val="minor"/>
      </rPr>
      <t>for healthcare buildings 1980</t>
    </r>
  </si>
  <si>
    <r>
      <t>average electrical energy consumption per m</t>
    </r>
    <r>
      <rPr>
        <vertAlign val="superscript"/>
        <sz val="12"/>
        <color theme="1"/>
        <rFont val="Calibri"/>
        <family val="2"/>
        <charset val="161"/>
        <scheme val="minor"/>
      </rPr>
      <t xml:space="preserve">2 </t>
    </r>
    <r>
      <rPr>
        <sz val="12"/>
        <color theme="1"/>
        <rFont val="Calibri"/>
        <family val="2"/>
        <scheme val="minor"/>
      </rPr>
      <t>for  healthcare buildings 2010</t>
    </r>
  </si>
  <si>
    <t>Assumption EF G.2.1</t>
  </si>
  <si>
    <t>Assumption EF G.3.1</t>
  </si>
  <si>
    <t>Assumption EF G.2.2</t>
  </si>
  <si>
    <t>Assumption EF G.3.2</t>
  </si>
  <si>
    <t>Assumption EF G.3.3</t>
  </si>
  <si>
    <t>Assumption EF G.4.2</t>
  </si>
  <si>
    <t>Assumption EF G.5.2</t>
  </si>
  <si>
    <t>Assumption EF G.6.2</t>
  </si>
  <si>
    <t>average surface of offices/commercial buildings build before 1980</t>
  </si>
  <si>
    <t>average surface of offices/commercial buildings build between 1981-2001</t>
  </si>
  <si>
    <t>average surface of healthcare buildings build before 1980</t>
  </si>
  <si>
    <t>average surface of healthcare buildings build between 1981-2001</t>
  </si>
  <si>
    <r>
      <t>m</t>
    </r>
    <r>
      <rPr>
        <vertAlign val="superscript"/>
        <sz val="12"/>
        <color theme="1"/>
        <rFont val="Calibri"/>
        <family val="2"/>
        <charset val="161"/>
        <scheme val="minor"/>
      </rPr>
      <t>2</t>
    </r>
  </si>
  <si>
    <t>Assumption EF G.2.3</t>
  </si>
  <si>
    <t>average surface of schools build before 1980</t>
  </si>
  <si>
    <t>average surface of schools build between 1981-2001</t>
  </si>
  <si>
    <t>average surface of schools build after 2002</t>
  </si>
  <si>
    <t>Assumption EF5.1.2b</t>
  </si>
  <si>
    <t>Assumption EF5.1.2c</t>
  </si>
  <si>
    <t>Assumption EF5.1.2d</t>
  </si>
  <si>
    <t>Assumption EF5.1.2e</t>
  </si>
  <si>
    <t>Assumption EF5.1.2f</t>
  </si>
  <si>
    <t>Assumption EF5.2.2b</t>
  </si>
  <si>
    <t>Assumption EF5.2.2c</t>
  </si>
  <si>
    <t>Assumption EF5.2.2d</t>
  </si>
  <si>
    <t>Assumption EF5.2.2e</t>
  </si>
  <si>
    <t>Assumption EF5.2.2f</t>
  </si>
  <si>
    <t>Assumption EF5.1.3a</t>
  </si>
  <si>
    <t>Assumption EF5.1.3b</t>
  </si>
  <si>
    <t>Assumption EF5.1.3c</t>
  </si>
  <si>
    <t>Assumption EF5.2.3a</t>
  </si>
  <si>
    <t>Assumption EF5.2.3b</t>
  </si>
  <si>
    <t>Assumption EF5.2.3c</t>
  </si>
  <si>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schools 1980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</si>
  <si>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schools 2001</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</si>
  <si>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schools 2010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</si>
  <si>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schools 1980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</si>
  <si>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schools 2001</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</si>
  <si>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schools 2010</t>
    </r>
  </si>
  <si>
    <t>Assumption EF5.1.4</t>
  </si>
  <si>
    <t>average time of lights’ operation per year</t>
  </si>
  <si>
    <t>kWh/year</t>
  </si>
  <si>
    <t>km</t>
  </si>
  <si>
    <t>average km passing by vehicle on local roads per year</t>
  </si>
  <si>
    <t>Assumption EF G.1.5</t>
  </si>
  <si>
    <t>% of car in Greece fueled by diesel</t>
  </si>
  <si>
    <t>% of car in Greece fueled by pertol</t>
  </si>
  <si>
    <t>Assumption EF G.1.6</t>
  </si>
  <si>
    <t>Assumption  EF 5.5.5</t>
  </si>
  <si>
    <t>Assumption EF 5.6.5</t>
  </si>
  <si>
    <t>Assumption  EF 5.5.6</t>
  </si>
  <si>
    <t>Assumption EF 5.6.6</t>
  </si>
  <si>
    <t>Assumption EF 5.10.6a</t>
  </si>
  <si>
    <t>Assumption EF 5.10.6b</t>
  </si>
  <si>
    <t>Assumption EF 5.10.6c</t>
  </si>
  <si>
    <t>Assumption EF 5.10.6d</t>
  </si>
  <si>
    <t>Assumption EF 5.10.6e</t>
  </si>
  <si>
    <t>ton</t>
  </si>
  <si>
    <t>average weight of a motorbike on ferry boat</t>
  </si>
  <si>
    <t>average weight of a car on ferry boat</t>
  </si>
  <si>
    <t>average weight of a bus on ferry boat</t>
  </si>
  <si>
    <t>average weight of a heavy duty vehicle on ferry boat</t>
  </si>
  <si>
    <t>average weight of a passenger on ferry boat</t>
  </si>
  <si>
    <t>1. Tourism</t>
  </si>
  <si>
    <t>Assumption EF G.1.7</t>
  </si>
  <si>
    <t>Assumption EF G.2.7</t>
  </si>
  <si>
    <t>Assumption EF G.3.7</t>
  </si>
  <si>
    <t>Average weight of adults tourists</t>
  </si>
  <si>
    <t>Average weight of minors tourists</t>
  </si>
  <si>
    <t>Days of consumption for the tourist</t>
  </si>
  <si>
    <t>Assumption EF1.1.7</t>
  </si>
  <si>
    <t>Assumption EF1.2.7</t>
  </si>
  <si>
    <t>Assumption EF1.3.7</t>
  </si>
  <si>
    <t>Assumption EF1.4.7</t>
  </si>
  <si>
    <t>Assumption EF1.5.7</t>
  </si>
  <si>
    <t>Assumption EF1.6.7</t>
  </si>
  <si>
    <t>Assumption EF1.7.7</t>
  </si>
  <si>
    <t>Assumption EF1.8.7</t>
  </si>
  <si>
    <t>Assumption EF1.9.7a</t>
  </si>
  <si>
    <t>average consumption of tobacco per day in Europe</t>
  </si>
  <si>
    <t>% smokers in Europe</t>
  </si>
  <si>
    <t>Assumption EF1.9.7b</t>
  </si>
  <si>
    <t>Assumption EF1.10.7</t>
  </si>
  <si>
    <t>Assumption EF1.11.7</t>
  </si>
  <si>
    <t>Assumption EF2.1.7</t>
  </si>
  <si>
    <t>Assumption EF2.2.7</t>
  </si>
  <si>
    <t>Assumption EF2.3.7</t>
  </si>
  <si>
    <t>Assumption EF2.4.7</t>
  </si>
  <si>
    <t>Assumption EF2.5.7</t>
  </si>
  <si>
    <t>Assumption EF2.6.7</t>
  </si>
  <si>
    <t>Assumption EF2.7.7</t>
  </si>
  <si>
    <t>Assumption EF2.8.7</t>
  </si>
  <si>
    <t>Assumption EF3.1.7</t>
  </si>
  <si>
    <t>Assumption EF3.2.7</t>
  </si>
  <si>
    <t>Assumption EF G.4.7</t>
  </si>
  <si>
    <t>Assumption EF G.5.7</t>
  </si>
  <si>
    <t>Assumtpion EF G.6.7</t>
  </si>
  <si>
    <t>average surface of hotels build before 1980</t>
  </si>
  <si>
    <t>average surface of hotels build between 1981-2001</t>
  </si>
  <si>
    <t>average surface of hotels build after 2002</t>
  </si>
  <si>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hotels 1980</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</si>
  <si>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hotels 2001</t>
    </r>
  </si>
  <si>
    <r>
      <t>average electrical energy consumption per m</t>
    </r>
    <r>
      <rPr>
        <vertAlign val="superscript"/>
        <sz val="12"/>
        <color theme="1"/>
        <rFont val="Calibri"/>
        <family val="2"/>
        <charset val="161"/>
        <scheme val="minor"/>
      </rPr>
      <t>2</t>
    </r>
    <r>
      <rPr>
        <sz val="12"/>
        <color theme="1"/>
        <rFont val="Calibri"/>
        <family val="2"/>
        <scheme val="minor"/>
      </rPr>
      <t xml:space="preserve"> for hotels 2010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</si>
  <si>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hotels 1980</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</si>
  <si>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hotels 2001</t>
    </r>
  </si>
  <si>
    <r>
      <t>average thermal energy consumption per m</t>
    </r>
    <r>
      <rPr>
        <vertAlign val="superscript"/>
        <sz val="12"/>
        <color theme="1"/>
        <rFont val="Calibri"/>
        <family val="2"/>
        <charset val="161"/>
        <scheme val="minor"/>
      </rPr>
      <t>2</t>
    </r>
    <r>
      <rPr>
        <sz val="12"/>
        <color theme="1"/>
        <rFont val="Calibri"/>
        <family val="2"/>
        <scheme val="minor"/>
      </rPr>
      <t xml:space="preserve"> for hotels 2010</t>
    </r>
  </si>
  <si>
    <t>Assumption EF5.2.1g</t>
  </si>
  <si>
    <t>Assumption EF5.2.1h</t>
  </si>
  <si>
    <t>Assumption EF5.2.1i</t>
  </si>
  <si>
    <t>Assumption EF5.2.1j</t>
  </si>
  <si>
    <t>% of thermal energy resulting from oil burning</t>
  </si>
  <si>
    <t>% of thermal energy resulting from logs burning</t>
  </si>
  <si>
    <t>% of thermal energy resulting from natural gas burning</t>
  </si>
  <si>
    <t>% of thermal energy resulting from electricity use</t>
  </si>
  <si>
    <t>km passing by airplane during taking off in each airport</t>
  </si>
  <si>
    <t xml:space="preserve">Public lighting's population </t>
  </si>
  <si>
    <t>Assumption EF G.4.1</t>
  </si>
  <si>
    <t>% reduction of fuel combustion for heating due to poverty</t>
  </si>
  <si>
    <t>Assumption EF G.7.2</t>
  </si>
  <si>
    <t>% fuel combustion for heating due to poverty</t>
  </si>
  <si>
    <t xml:space="preserve">average consumption of  beer and beer-like, wine, spirits, soft drinks per kg of human mass per day </t>
  </si>
  <si>
    <t>days/year</t>
  </si>
  <si>
    <t>average consumption of beer and beer-like, wine, spirits, soft drinks</t>
  </si>
  <si>
    <t>average surface of healthcare buildings build after 2001</t>
  </si>
  <si>
    <t>average surface of offices/commercial buildings build after 2001</t>
  </si>
  <si>
    <t>Assumption EF5.1.7a</t>
  </si>
  <si>
    <t>Assumption EF5.1.7b</t>
  </si>
  <si>
    <t>Assumption EF5.1.7c</t>
  </si>
  <si>
    <t>Assumption EF5.2.7a</t>
  </si>
  <si>
    <t>Assumption EF5.2.7b</t>
  </si>
  <si>
    <t>Assumption EF5.2.7c</t>
  </si>
  <si>
    <t>Τourists' population</t>
  </si>
  <si>
    <t xml:space="preserve">These values extracted from SIMAPRO using LCA </t>
  </si>
  <si>
    <t xml:space="preserve">Note: PB4 (EKBY) is responsible for EF estimation </t>
  </si>
  <si>
    <t>Descriptions to be changed into more understandable ones</t>
  </si>
  <si>
    <t>THESE are the INPUTS that we need for the METHODOLOGY to assess the CC, EF and CF</t>
  </si>
  <si>
    <t>Indicator CF X.Y.Z</t>
  </si>
  <si>
    <t xml:space="preserve">where CF stands for Carbon Footprint </t>
  </si>
  <si>
    <t>X refers to the Carbon Footprint's subcategory</t>
  </si>
  <si>
    <t>Kg CO2eq/kwh</t>
  </si>
  <si>
    <t>Kg CO2eq</t>
  </si>
  <si>
    <t>Kg CO2eq/km</t>
  </si>
  <si>
    <t>Kg CO2eq/km or personkm or tkm</t>
  </si>
  <si>
    <t>Τotal Carbon Footprint (per Equivalent Person-Population)</t>
  </si>
  <si>
    <t>Τotal Carbon Footprint (tonnes CO2eq)</t>
  </si>
  <si>
    <t>Total Carbon Footprint per capita (tonnes CO2eq)</t>
  </si>
  <si>
    <t>Indicator CF5.1.1</t>
  </si>
  <si>
    <t>Indicator CF5.2.1</t>
  </si>
  <si>
    <t>Indicator CF5.1.2</t>
  </si>
  <si>
    <t>Indicator CF5.2.2</t>
  </si>
  <si>
    <t>Indicator CF5.1.3</t>
  </si>
  <si>
    <t>Indicator CF5.2.3</t>
  </si>
  <si>
    <t>Indicator CF5.1.4</t>
  </si>
  <si>
    <t>Indicator CF5.3.5</t>
  </si>
  <si>
    <t>Indicator CF5.4.5</t>
  </si>
  <si>
    <t>Indicator CF5.5.5</t>
  </si>
  <si>
    <t>Indicator CF5.6.5</t>
  </si>
  <si>
    <t>Indicator CF5.3.6</t>
  </si>
  <si>
    <t>Indicator CF5.4.6</t>
  </si>
  <si>
    <t>Indicator CF5.5.6</t>
  </si>
  <si>
    <t>Indicator CF5.6.6</t>
  </si>
  <si>
    <t>Indicator CF5.7.6</t>
  </si>
  <si>
    <t>Indicator CF5.8.6</t>
  </si>
  <si>
    <t>Indicator CF5.9.6</t>
  </si>
  <si>
    <t>Indicator CF5.10.6</t>
  </si>
  <si>
    <t>Indicator CF5.11.6</t>
  </si>
  <si>
    <t>Indicator CF5.12.6</t>
  </si>
  <si>
    <t>Indicator CF5.1.7</t>
  </si>
  <si>
    <t>Indicator CF5.2.7</t>
  </si>
</sst>
</file>

<file path=xl/styles.xml><?xml version="1.0" encoding="utf-8"?>
<styleSheet xmlns="http://schemas.openxmlformats.org/spreadsheetml/2006/main">
  <numFmts count="2">
    <numFmt numFmtId="164" formatCode="0.000000"/>
    <numFmt numFmtId="165" formatCode="0.0000"/>
  </numFmts>
  <fonts count="22">
    <font>
      <sz val="11"/>
      <color theme="1"/>
      <name val="Calibri"/>
      <family val="2"/>
      <charset val="161"/>
      <scheme val="minor"/>
    </font>
    <font>
      <sz val="12"/>
      <color theme="1"/>
      <name val="Calibri"/>
      <family val="2"/>
      <scheme val="minor"/>
    </font>
    <font>
      <b/>
      <sz val="11"/>
      <color theme="1"/>
      <name val="Calibri"/>
      <family val="2"/>
      <charset val="161"/>
      <scheme val="minor"/>
    </font>
    <font>
      <sz val="10"/>
      <color theme="1"/>
      <name val="Calibri"/>
      <family val="2"/>
      <charset val="161"/>
      <scheme val="minor"/>
    </font>
    <font>
      <u/>
      <sz val="11"/>
      <color theme="1"/>
      <name val="Calibri"/>
      <family val="2"/>
      <charset val="161"/>
      <scheme val="minor"/>
    </font>
    <font>
      <b/>
      <sz val="10"/>
      <color theme="1"/>
      <name val="Times New Roman"/>
      <family val="1"/>
      <charset val="161"/>
    </font>
    <font>
      <sz val="10"/>
      <color theme="1"/>
      <name val="Times New Roman"/>
      <family val="1"/>
      <charset val="161"/>
    </font>
    <font>
      <sz val="11"/>
      <color theme="1"/>
      <name val="Calibri"/>
      <family val="2"/>
      <charset val="161"/>
    </font>
    <font>
      <b/>
      <sz val="11"/>
      <color theme="1"/>
      <name val="Calibri"/>
      <family val="2"/>
      <charset val="161"/>
    </font>
    <font>
      <sz val="11"/>
      <name val="Calibri"/>
      <family val="2"/>
      <charset val="161"/>
      <scheme val="minor"/>
    </font>
    <font>
      <b/>
      <u/>
      <sz val="11"/>
      <color theme="1"/>
      <name val="Calibri"/>
      <family val="2"/>
      <charset val="161"/>
      <scheme val="minor"/>
    </font>
    <font>
      <sz val="11"/>
      <color rgb="FFFF0000"/>
      <name val="Calibri"/>
      <family val="2"/>
      <charset val="161"/>
      <scheme val="minor"/>
    </font>
    <font>
      <i/>
      <sz val="11"/>
      <color theme="1"/>
      <name val="Calibri"/>
      <family val="2"/>
      <charset val="161"/>
      <scheme val="minor"/>
    </font>
    <font>
      <b/>
      <sz val="11"/>
      <color rgb="FFFF0000"/>
      <name val="Calibri"/>
      <family val="2"/>
      <charset val="161"/>
      <scheme val="minor"/>
    </font>
    <font>
      <b/>
      <sz val="11"/>
      <color theme="3" tint="0.39997558519241921"/>
      <name val="Calibri"/>
      <family val="2"/>
      <charset val="161"/>
      <scheme val="minor"/>
    </font>
    <font>
      <b/>
      <sz val="12"/>
      <color theme="5"/>
      <name val="Calibri"/>
      <family val="2"/>
      <charset val="161"/>
      <scheme val="minor"/>
    </font>
    <font>
      <b/>
      <sz val="12"/>
      <color rgb="FFFF0000"/>
      <name val="Calibri"/>
      <family val="2"/>
      <charset val="161"/>
      <scheme val="minor"/>
    </font>
    <font>
      <b/>
      <sz val="14"/>
      <color rgb="FFFF0000"/>
      <name val="Calibri"/>
      <family val="2"/>
      <charset val="161"/>
      <scheme val="minor"/>
    </font>
    <font>
      <b/>
      <sz val="11"/>
      <color theme="4"/>
      <name val="Calibri"/>
      <family val="2"/>
      <charset val="161"/>
      <scheme val="minor"/>
    </font>
    <font>
      <sz val="12"/>
      <color theme="1"/>
      <name val="Calibri"/>
      <family val="2"/>
      <charset val="161"/>
      <scheme val="minor"/>
    </font>
    <font>
      <vertAlign val="superscript"/>
      <sz val="12"/>
      <color theme="1"/>
      <name val="Calibri"/>
      <family val="2"/>
      <charset val="161"/>
      <scheme val="minor"/>
    </font>
    <font>
      <b/>
      <sz val="10"/>
      <color theme="1"/>
      <name val="Calibri"/>
      <family val="2"/>
      <charset val="161"/>
      <scheme val="minor"/>
    </font>
  </fonts>
  <fills count="15">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s>
  <cellStyleXfs count="1">
    <xf numFmtId="0" fontId="0" fillId="0" borderId="0"/>
  </cellStyleXfs>
  <cellXfs count="378">
    <xf numFmtId="0" fontId="0" fillId="0" borderId="0" xfId="0"/>
    <xf numFmtId="0" fontId="0" fillId="2" borderId="1" xfId="0" applyFill="1" applyBorder="1"/>
    <xf numFmtId="0" fontId="0" fillId="0" borderId="0" xfId="0" applyFill="1" applyBorder="1"/>
    <xf numFmtId="0" fontId="0" fillId="0" borderId="0" xfId="0" applyAlignment="1">
      <alignment textRotation="90" wrapText="1"/>
    </xf>
    <xf numFmtId="0" fontId="2" fillId="0" borderId="0" xfId="0" applyFont="1"/>
    <xf numFmtId="0" fontId="0" fillId="0" borderId="0" xfId="0" applyAlignment="1">
      <alignment wrapText="1"/>
    </xf>
    <xf numFmtId="0" fontId="2" fillId="0" borderId="0" xfId="0" applyFont="1" applyAlignment="1">
      <alignment horizontal="center" vertical="center" textRotation="90" wrapText="1"/>
    </xf>
    <xf numFmtId="0" fontId="4" fillId="0" borderId="0" xfId="0" applyFont="1"/>
    <xf numFmtId="0" fontId="0" fillId="0" borderId="1" xfId="0" applyBorder="1"/>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7" fillId="0" borderId="5" xfId="0" applyFont="1" applyFill="1" applyBorder="1" applyAlignment="1"/>
    <xf numFmtId="0" fontId="8" fillId="0" borderId="1" xfId="0" applyFont="1" applyFill="1" applyBorder="1" applyAlignment="1">
      <alignment vertical="top" wrapText="1"/>
    </xf>
    <xf numFmtId="0" fontId="7" fillId="0" borderId="5" xfId="0" applyFont="1" applyFill="1" applyBorder="1" applyAlignment="1">
      <alignment vertical="top" wrapText="1"/>
    </xf>
    <xf numFmtId="0" fontId="2" fillId="0" borderId="1" xfId="0" applyFont="1" applyBorder="1"/>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Border="1" applyAlignment="1">
      <alignment vertical="top"/>
    </xf>
    <xf numFmtId="0" fontId="2" fillId="0" borderId="0" xfId="0" applyFont="1" applyBorder="1"/>
    <xf numFmtId="0" fontId="0" fillId="0" borderId="0" xfId="0" applyBorder="1"/>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xf numFmtId="0" fontId="2" fillId="0" borderId="0" xfId="0" applyFont="1" applyFill="1" applyBorder="1" applyAlignment="1">
      <alignment vertical="top" wrapText="1"/>
    </xf>
    <xf numFmtId="0" fontId="0" fillId="0" borderId="0" xfId="0" applyBorder="1" applyAlignment="1">
      <alignment vertical="top" wrapText="1"/>
    </xf>
    <xf numFmtId="0" fontId="0" fillId="0" borderId="0" xfId="0" applyFill="1" applyBorder="1" applyAlignment="1">
      <alignment vertical="top" wrapText="1"/>
    </xf>
    <xf numFmtId="0" fontId="0" fillId="0" borderId="1" xfId="0" applyBorder="1" applyAlignment="1">
      <alignment vertical="top" wrapText="1"/>
    </xf>
    <xf numFmtId="0" fontId="5" fillId="0" borderId="0" xfId="0" applyFont="1" applyFill="1" applyAlignment="1">
      <alignment vertical="top" wrapText="1"/>
    </xf>
    <xf numFmtId="0" fontId="6" fillId="0" borderId="0" xfId="0" applyFont="1" applyFill="1" applyBorder="1" applyAlignment="1">
      <alignment vertical="top" wrapText="1"/>
    </xf>
    <xf numFmtId="0" fontId="5" fillId="0" borderId="7" xfId="0" applyFont="1" applyFill="1" applyBorder="1" applyAlignment="1">
      <alignment vertical="top" wrapText="1"/>
    </xf>
    <xf numFmtId="0" fontId="6" fillId="0" borderId="7" xfId="0" applyFont="1" applyFill="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2" fillId="5" borderId="1" xfId="0" applyFont="1" applyFill="1" applyBorder="1"/>
    <xf numFmtId="0" fontId="0" fillId="0" borderId="4" xfId="0" applyBorder="1" applyAlignment="1">
      <alignment vertical="top" wrapText="1"/>
    </xf>
    <xf numFmtId="0" fontId="2" fillId="4" borderId="1" xfId="0" applyFont="1" applyFill="1" applyBorder="1"/>
    <xf numFmtId="0" fontId="0" fillId="0" borderId="1" xfId="0" applyFill="1" applyBorder="1"/>
    <xf numFmtId="0" fontId="2" fillId="8" borderId="0" xfId="0" applyFont="1" applyFill="1" applyAlignment="1"/>
    <xf numFmtId="0" fontId="0" fillId="0" borderId="14" xfId="0" applyBorder="1"/>
    <xf numFmtId="0" fontId="0" fillId="10" borderId="11" xfId="0" applyFill="1" applyBorder="1"/>
    <xf numFmtId="0" fontId="0" fillId="10" borderId="12" xfId="0" applyFill="1" applyBorder="1"/>
    <xf numFmtId="0" fontId="0" fillId="10" borderId="14" xfId="0" applyFill="1" applyBorder="1"/>
    <xf numFmtId="0" fontId="2" fillId="0" borderId="15" xfId="0" applyFont="1" applyBorder="1" applyAlignment="1">
      <alignment horizontal="center" vertical="center" textRotation="90"/>
    </xf>
    <xf numFmtId="0" fontId="2" fillId="0" borderId="15" xfId="0" applyFont="1" applyBorder="1"/>
    <xf numFmtId="0" fontId="0" fillId="0" borderId="15" xfId="0" applyFill="1" applyBorder="1"/>
    <xf numFmtId="0" fontId="0" fillId="0" borderId="12" xfId="0" applyFill="1" applyBorder="1"/>
    <xf numFmtId="0" fontId="2" fillId="0" borderId="0" xfId="0" applyFont="1" applyBorder="1" applyAlignment="1">
      <alignment horizontal="center" vertical="center" textRotation="90"/>
    </xf>
    <xf numFmtId="0" fontId="4" fillId="0" borderId="0" xfId="0" applyFont="1" applyBorder="1"/>
    <xf numFmtId="0" fontId="0" fillId="0" borderId="18" xfId="0" applyBorder="1"/>
    <xf numFmtId="0" fontId="9" fillId="0" borderId="0" xfId="0" applyFont="1" applyBorder="1"/>
    <xf numFmtId="0" fontId="0" fillId="0" borderId="19" xfId="0" applyBorder="1"/>
    <xf numFmtId="0" fontId="0" fillId="10" borderId="13" xfId="0" applyFill="1" applyBorder="1" applyAlignment="1">
      <alignment wrapText="1"/>
    </xf>
    <xf numFmtId="0" fontId="0" fillId="2" borderId="20" xfId="0" applyFill="1" applyBorder="1"/>
    <xf numFmtId="0" fontId="0" fillId="2" borderId="21" xfId="0" applyFill="1" applyBorder="1"/>
    <xf numFmtId="0" fontId="0" fillId="2" borderId="22" xfId="0" applyFill="1" applyBorder="1"/>
    <xf numFmtId="0" fontId="0" fillId="0" borderId="0" xfId="0" quotePrefix="1" applyBorder="1"/>
    <xf numFmtId="0" fontId="0" fillId="2" borderId="16" xfId="0" applyFill="1" applyBorder="1"/>
    <xf numFmtId="0" fontId="2" fillId="0" borderId="0" xfId="0" applyFont="1" applyBorder="1" applyAlignment="1">
      <alignment horizontal="center" vertical="center" textRotation="90" wrapText="1"/>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2" borderId="1" xfId="0" applyFill="1" applyBorder="1" applyAlignment="1">
      <alignment wrapText="1"/>
    </xf>
    <xf numFmtId="0" fontId="3" fillId="12" borderId="17" xfId="0" applyFont="1" applyFill="1" applyBorder="1" applyAlignment="1">
      <alignment textRotation="90" wrapText="1"/>
    </xf>
    <xf numFmtId="0" fontId="0" fillId="12" borderId="0" xfId="0" applyFill="1" applyBorder="1"/>
    <xf numFmtId="0" fontId="0" fillId="12" borderId="18" xfId="0" applyFill="1" applyBorder="1"/>
    <xf numFmtId="0" fontId="0" fillId="12" borderId="17" xfId="0" applyFill="1" applyBorder="1"/>
    <xf numFmtId="0" fontId="2" fillId="12" borderId="0" xfId="0" applyFont="1" applyFill="1" applyBorder="1"/>
    <xf numFmtId="0" fontId="2" fillId="12" borderId="18" xfId="0" applyFont="1" applyFill="1" applyBorder="1"/>
    <xf numFmtId="0" fontId="0" fillId="6" borderId="10" xfId="0" applyFill="1" applyBorder="1"/>
    <xf numFmtId="0" fontId="0" fillId="6" borderId="12" xfId="0" applyFill="1" applyBorder="1"/>
    <xf numFmtId="0" fontId="2" fillId="12" borderId="30" xfId="0" applyFont="1" applyFill="1" applyBorder="1"/>
    <xf numFmtId="0" fontId="0" fillId="0" borderId="32" xfId="0" applyBorder="1"/>
    <xf numFmtId="0" fontId="0" fillId="0" borderId="22" xfId="0" applyBorder="1"/>
    <xf numFmtId="0" fontId="2" fillId="12" borderId="33" xfId="0" applyFont="1" applyFill="1" applyBorder="1"/>
    <xf numFmtId="0" fontId="0" fillId="0" borderId="16" xfId="0" applyBorder="1"/>
    <xf numFmtId="0" fontId="0" fillId="0" borderId="20" xfId="0" applyBorder="1"/>
    <xf numFmtId="0" fontId="0" fillId="0" borderId="21" xfId="0" applyBorder="1"/>
    <xf numFmtId="0" fontId="0" fillId="12" borderId="28" xfId="0" applyFill="1" applyBorder="1"/>
    <xf numFmtId="0" fontId="2" fillId="12" borderId="7" xfId="0" applyFont="1" applyFill="1" applyBorder="1"/>
    <xf numFmtId="0" fontId="2" fillId="12" borderId="29" xfId="0" applyFont="1" applyFill="1" applyBorder="1"/>
    <xf numFmtId="0" fontId="9" fillId="0" borderId="1" xfId="0" applyFont="1" applyBorder="1"/>
    <xf numFmtId="0" fontId="9" fillId="0" borderId="32" xfId="0" applyFont="1" applyBorder="1"/>
    <xf numFmtId="0" fontId="0" fillId="0" borderId="37" xfId="0" applyBorder="1"/>
    <xf numFmtId="0" fontId="0" fillId="0" borderId="38" xfId="0" applyBorder="1"/>
    <xf numFmtId="0" fontId="0" fillId="12" borderId="18" xfId="0" applyFill="1" applyBorder="1" applyAlignment="1">
      <alignment wrapText="1"/>
    </xf>
    <xf numFmtId="0" fontId="3" fillId="0" borderId="36" xfId="0" applyFont="1" applyBorder="1" applyAlignment="1">
      <alignment textRotation="90" wrapText="1"/>
    </xf>
    <xf numFmtId="0" fontId="0" fillId="6" borderId="24" xfId="0" applyFill="1" applyBorder="1"/>
    <xf numFmtId="0" fontId="0" fillId="0" borderId="0" xfId="0" applyAlignment="1"/>
    <xf numFmtId="0" fontId="0" fillId="0" borderId="0" xfId="0" applyBorder="1" applyAlignment="1"/>
    <xf numFmtId="0" fontId="0" fillId="0" borderId="19" xfId="0" applyBorder="1" applyAlignment="1">
      <alignment horizontal="center"/>
    </xf>
    <xf numFmtId="0" fontId="0" fillId="0" borderId="1" xfId="0" applyBorder="1" applyAlignment="1">
      <alignment horizontal="left"/>
    </xf>
    <xf numFmtId="0" fontId="0" fillId="0" borderId="1" xfId="0" applyBorder="1" applyAlignment="1">
      <alignment horizontal="left" vertical="center"/>
    </xf>
    <xf numFmtId="0" fontId="0" fillId="0" borderId="1" xfId="0" applyBorder="1" applyAlignment="1">
      <alignment horizontal="right"/>
    </xf>
    <xf numFmtId="0" fontId="0" fillId="0" borderId="1" xfId="0" applyBorder="1" applyAlignment="1">
      <alignment horizontal="righ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0" fillId="0" borderId="0" xfId="0" applyFill="1" applyBorder="1" applyAlignment="1">
      <alignment wrapText="1"/>
    </xf>
    <xf numFmtId="0" fontId="9" fillId="0" borderId="18" xfId="0" applyFont="1" applyBorder="1"/>
    <xf numFmtId="0" fontId="9" fillId="0" borderId="16" xfId="0" applyFont="1" applyBorder="1"/>
    <xf numFmtId="0" fontId="2" fillId="8" borderId="0" xfId="0" applyFont="1" applyFill="1" applyAlignment="1"/>
    <xf numFmtId="0" fontId="2" fillId="0" borderId="1" xfId="0" applyFont="1" applyFill="1" applyBorder="1" applyAlignment="1">
      <alignment vertical="top" wrapText="1"/>
    </xf>
    <xf numFmtId="0" fontId="11" fillId="0" borderId="0" xfId="0" applyFont="1" applyAlignment="1">
      <alignment horizontal="center"/>
    </xf>
    <xf numFmtId="0" fontId="13" fillId="0" borderId="0" xfId="0" applyFont="1"/>
    <xf numFmtId="0" fontId="14" fillId="0" borderId="0" xfId="0" applyFont="1"/>
    <xf numFmtId="0" fontId="2" fillId="12" borderId="7" xfId="0" applyFont="1" applyFill="1" applyBorder="1" applyAlignment="1">
      <alignment horizontal="center"/>
    </xf>
    <xf numFmtId="0" fontId="12" fillId="6" borderId="0" xfId="0" applyFont="1" applyFill="1"/>
    <xf numFmtId="0" fontId="0" fillId="0" borderId="5" xfId="0" applyFill="1" applyBorder="1" applyAlignment="1">
      <alignment vertical="top" wrapText="1"/>
    </xf>
    <xf numFmtId="0" fontId="2" fillId="11" borderId="1" xfId="0" applyFont="1" applyFill="1" applyBorder="1"/>
    <xf numFmtId="0" fontId="0" fillId="11" borderId="1" xfId="0" applyFill="1" applyBorder="1"/>
    <xf numFmtId="0" fontId="16" fillId="0" borderId="0" xfId="0" applyFont="1"/>
    <xf numFmtId="0" fontId="17" fillId="0" borderId="0" xfId="0" applyFont="1"/>
    <xf numFmtId="0" fontId="18" fillId="0" borderId="0" xfId="0" applyFont="1"/>
    <xf numFmtId="0" fontId="2" fillId="4" borderId="1" xfId="0" applyFont="1" applyFill="1" applyBorder="1" applyAlignment="1">
      <alignment horizontal="center"/>
    </xf>
    <xf numFmtId="0" fontId="0" fillId="5" borderId="1" xfId="0" applyFill="1" applyBorder="1"/>
    <xf numFmtId="0" fontId="3" fillId="0" borderId="34" xfId="0" applyFont="1" applyBorder="1" applyAlignment="1">
      <alignment textRotation="90" wrapText="1"/>
    </xf>
    <xf numFmtId="0" fontId="2" fillId="0" borderId="2" xfId="0" applyFont="1" applyBorder="1" applyAlignment="1">
      <alignment horizontal="center" vertical="center" wrapText="1"/>
    </xf>
    <xf numFmtId="0" fontId="12" fillId="0" borderId="0" xfId="0" applyFont="1" applyAlignment="1"/>
    <xf numFmtId="0" fontId="2" fillId="0" borderId="0" xfId="0" applyFont="1" applyFill="1" applyBorder="1"/>
    <xf numFmtId="0" fontId="12" fillId="0" borderId="0" xfId="0" applyFont="1" applyFill="1" applyAlignment="1">
      <alignment wrapText="1"/>
    </xf>
    <xf numFmtId="0" fontId="19" fillId="0" borderId="1" xfId="0" applyFont="1" applyBorder="1"/>
    <xf numFmtId="0" fontId="19" fillId="0" borderId="1" xfId="0" applyFont="1" applyBorder="1" applyAlignment="1">
      <alignment wrapText="1"/>
    </xf>
    <xf numFmtId="0" fontId="19" fillId="0" borderId="0" xfId="0" applyFont="1" applyBorder="1"/>
    <xf numFmtId="0" fontId="19" fillId="0" borderId="32" xfId="0" applyFont="1" applyBorder="1"/>
    <xf numFmtId="0" fontId="0" fillId="0" borderId="32" xfId="0" applyFill="1" applyBorder="1"/>
    <xf numFmtId="0" fontId="0" fillId="0" borderId="1" xfId="0" applyFont="1" applyFill="1" applyBorder="1"/>
    <xf numFmtId="0" fontId="0" fillId="0" borderId="4" xfId="0" applyBorder="1"/>
    <xf numFmtId="0" fontId="19" fillId="0" borderId="4" xfId="0" applyFont="1" applyBorder="1"/>
    <xf numFmtId="0" fontId="0" fillId="0" borderId="43" xfId="0" applyBorder="1"/>
    <xf numFmtId="0" fontId="9" fillId="0" borderId="2" xfId="0" applyFont="1" applyBorder="1"/>
    <xf numFmtId="0" fontId="0" fillId="0" borderId="2" xfId="0" applyBorder="1"/>
    <xf numFmtId="0" fontId="0" fillId="0" borderId="45" xfId="0" applyBorder="1"/>
    <xf numFmtId="0" fontId="0" fillId="12" borderId="36" xfId="0" applyFill="1" applyBorder="1"/>
    <xf numFmtId="0" fontId="2" fillId="12" borderId="37" xfId="0" applyFont="1" applyFill="1" applyBorder="1"/>
    <xf numFmtId="0" fontId="2" fillId="12" borderId="38" xfId="0" applyFont="1" applyFill="1" applyBorder="1" applyAlignment="1">
      <alignment horizontal="center"/>
    </xf>
    <xf numFmtId="0" fontId="2" fillId="12" borderId="37" xfId="0" applyFont="1" applyFill="1" applyBorder="1" applyAlignment="1">
      <alignment horizontal="center"/>
    </xf>
    <xf numFmtId="0" fontId="19" fillId="0" borderId="2" xfId="0" applyFont="1" applyBorder="1" applyAlignment="1">
      <alignment wrapText="1"/>
    </xf>
    <xf numFmtId="0" fontId="9" fillId="0" borderId="3" xfId="0" applyFont="1" applyBorder="1"/>
    <xf numFmtId="0" fontId="19" fillId="0" borderId="3" xfId="0" applyFont="1" applyBorder="1"/>
    <xf numFmtId="0" fontId="3" fillId="12" borderId="36" xfId="0" applyFont="1" applyFill="1" applyBorder="1" applyAlignment="1">
      <alignment textRotation="90" wrapText="1"/>
    </xf>
    <xf numFmtId="0" fontId="0" fillId="0" borderId="1" xfId="0" applyFont="1" applyFill="1" applyBorder="1" applyAlignment="1">
      <alignment horizontal="right"/>
    </xf>
    <xf numFmtId="0" fontId="0" fillId="0" borderId="43" xfId="0" applyBorder="1" applyAlignment="1">
      <alignment horizontal="right"/>
    </xf>
    <xf numFmtId="0" fontId="0" fillId="0" borderId="21" xfId="0" applyBorder="1" applyAlignment="1">
      <alignment horizontal="right"/>
    </xf>
    <xf numFmtId="0" fontId="0" fillId="0" borderId="45" xfId="0" applyBorder="1" applyAlignment="1">
      <alignment horizontal="right"/>
    </xf>
    <xf numFmtId="0" fontId="2" fillId="12" borderId="38" xfId="0" applyFont="1" applyFill="1" applyBorder="1" applyAlignment="1">
      <alignment horizontal="right"/>
    </xf>
    <xf numFmtId="0" fontId="0" fillId="0" borderId="46" xfId="0" applyBorder="1" applyAlignment="1">
      <alignment horizontal="right"/>
    </xf>
    <xf numFmtId="0" fontId="19" fillId="0" borderId="43" xfId="0" applyFont="1" applyBorder="1" applyAlignment="1">
      <alignment horizontal="right"/>
    </xf>
    <xf numFmtId="0" fontId="19" fillId="0" borderId="21" xfId="0" applyFont="1" applyBorder="1" applyAlignment="1">
      <alignment horizontal="right"/>
    </xf>
    <xf numFmtId="0" fontId="19" fillId="0" borderId="22" xfId="0" applyFont="1" applyBorder="1" applyAlignment="1">
      <alignment horizontal="right"/>
    </xf>
    <xf numFmtId="0" fontId="21" fillId="0" borderId="40" xfId="0" applyFont="1" applyBorder="1" applyAlignment="1">
      <alignment textRotation="90" wrapText="1"/>
    </xf>
    <xf numFmtId="0" fontId="0" fillId="0" borderId="16" xfId="0" applyFont="1" applyFill="1" applyBorder="1"/>
    <xf numFmtId="0" fontId="0" fillId="0" borderId="16" xfId="0" applyFont="1" applyFill="1" applyBorder="1" applyAlignment="1">
      <alignment horizontal="right"/>
    </xf>
    <xf numFmtId="0" fontId="0" fillId="0" borderId="20" xfId="0" applyBorder="1" applyAlignment="1">
      <alignment horizontal="right"/>
    </xf>
    <xf numFmtId="0" fontId="0" fillId="0" borderId="32" xfId="0" applyFont="1" applyFill="1" applyBorder="1" applyAlignment="1">
      <alignment horizontal="right"/>
    </xf>
    <xf numFmtId="0" fontId="0" fillId="0" borderId="22"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29" xfId="0" applyBorder="1" applyAlignment="1">
      <alignment horizontal="right"/>
    </xf>
    <xf numFmtId="0" fontId="19" fillId="0" borderId="16" xfId="0" applyFont="1" applyBorder="1"/>
    <xf numFmtId="0" fontId="9" fillId="0" borderId="21" xfId="0" applyFont="1" applyBorder="1"/>
    <xf numFmtId="0" fontId="9" fillId="0" borderId="43" xfId="0" applyFont="1" applyBorder="1"/>
    <xf numFmtId="0" fontId="0" fillId="0" borderId="16" xfId="0" applyFill="1" applyBorder="1"/>
    <xf numFmtId="0" fontId="2" fillId="12" borderId="51" xfId="0" applyFont="1" applyFill="1" applyBorder="1" applyAlignment="1">
      <alignment horizontal="right"/>
    </xf>
    <xf numFmtId="0" fontId="2" fillId="12" borderId="52" xfId="0" applyFont="1" applyFill="1" applyBorder="1" applyAlignment="1">
      <alignment horizontal="right"/>
    </xf>
    <xf numFmtId="0" fontId="3" fillId="12" borderId="39" xfId="0" applyFont="1" applyFill="1" applyBorder="1" applyAlignment="1">
      <alignment textRotation="90" wrapText="1"/>
    </xf>
    <xf numFmtId="0" fontId="2" fillId="12" borderId="53" xfId="0" applyFont="1" applyFill="1" applyBorder="1"/>
    <xf numFmtId="0" fontId="2" fillId="12" borderId="54" xfId="0" applyFont="1" applyFill="1" applyBorder="1"/>
    <xf numFmtId="0" fontId="19" fillId="0" borderId="15" xfId="0" applyFont="1" applyBorder="1"/>
    <xf numFmtId="0" fontId="19" fillId="0" borderId="19" xfId="0" applyFont="1" applyBorder="1"/>
    <xf numFmtId="0" fontId="19" fillId="0" borderId="20" xfId="0" applyFont="1" applyBorder="1" applyAlignment="1">
      <alignment horizontal="right"/>
    </xf>
    <xf numFmtId="0" fontId="0" fillId="0" borderId="54" xfId="0" applyFill="1" applyBorder="1"/>
    <xf numFmtId="0" fontId="0" fillId="0" borderId="16" xfId="0" applyFont="1" applyFill="1" applyBorder="1" applyAlignment="1"/>
    <xf numFmtId="0" fontId="0" fillId="0" borderId="1" xfId="0" applyFont="1" applyFill="1" applyBorder="1" applyAlignment="1"/>
    <xf numFmtId="0" fontId="3" fillId="12" borderId="41" xfId="0" applyFont="1" applyFill="1" applyBorder="1" applyAlignment="1">
      <alignment horizontal="center" vertical="center" textRotation="90" wrapText="1"/>
    </xf>
    <xf numFmtId="0" fontId="0" fillId="0" borderId="2" xfId="0" applyFill="1" applyBorder="1"/>
    <xf numFmtId="0" fontId="0" fillId="0" borderId="2" xfId="0" applyFont="1" applyFill="1" applyBorder="1" applyAlignment="1"/>
    <xf numFmtId="0" fontId="19" fillId="0" borderId="45" xfId="0" applyFont="1" applyBorder="1" applyAlignment="1">
      <alignment horizontal="right"/>
    </xf>
    <xf numFmtId="0" fontId="3" fillId="12" borderId="36" xfId="0" applyFont="1" applyFill="1" applyBorder="1" applyAlignment="1">
      <alignment horizontal="center" vertical="center" textRotation="90" wrapText="1"/>
    </xf>
    <xf numFmtId="0" fontId="19" fillId="0" borderId="50" xfId="0" applyFont="1" applyBorder="1"/>
    <xf numFmtId="0" fontId="19" fillId="0" borderId="38" xfId="0" applyFont="1" applyBorder="1" applyAlignment="1">
      <alignment horizontal="right"/>
    </xf>
    <xf numFmtId="0" fontId="21" fillId="0" borderId="36" xfId="0" applyFont="1" applyBorder="1" applyAlignment="1">
      <alignment horizontal="center" vertical="center" textRotation="90" wrapText="1"/>
    </xf>
    <xf numFmtId="9" fontId="0" fillId="0" borderId="1" xfId="0" applyNumberFormat="1" applyBorder="1"/>
    <xf numFmtId="9" fontId="0" fillId="0" borderId="21" xfId="0" applyNumberFormat="1" applyFont="1" applyFill="1" applyBorder="1" applyAlignment="1">
      <alignment horizontal="right"/>
    </xf>
    <xf numFmtId="9" fontId="0" fillId="0" borderId="32" xfId="0" applyNumberFormat="1" applyBorder="1"/>
    <xf numFmtId="9" fontId="0" fillId="0" borderId="4" xfId="0" applyNumberFormat="1" applyBorder="1"/>
    <xf numFmtId="0" fontId="0" fillId="0" borderId="38" xfId="0" applyBorder="1" applyAlignment="1">
      <alignment horizontal="right"/>
    </xf>
    <xf numFmtId="0" fontId="3" fillId="12" borderId="39" xfId="0" applyFont="1" applyFill="1" applyBorder="1" applyAlignment="1">
      <alignment horizontal="center" vertical="center" textRotation="90" wrapText="1"/>
    </xf>
    <xf numFmtId="0" fontId="19" fillId="0" borderId="1" xfId="0" applyFont="1" applyFill="1" applyBorder="1"/>
    <xf numFmtId="9" fontId="0" fillId="0" borderId="16" xfId="0" applyNumberFormat="1" applyBorder="1"/>
    <xf numFmtId="0" fontId="0" fillId="0" borderId="21" xfId="0" applyFill="1" applyBorder="1" applyAlignment="1">
      <alignment horizontal="right"/>
    </xf>
    <xf numFmtId="0" fontId="19" fillId="0" borderId="32" xfId="0" applyFont="1" applyFill="1" applyBorder="1"/>
    <xf numFmtId="0" fontId="0" fillId="0" borderId="22" xfId="0" applyFill="1" applyBorder="1" applyAlignment="1">
      <alignment horizontal="right"/>
    </xf>
    <xf numFmtId="0" fontId="0" fillId="12" borderId="39" xfId="0" applyFill="1" applyBorder="1"/>
    <xf numFmtId="0" fontId="2" fillId="12" borderId="53" xfId="0" applyFont="1" applyFill="1" applyBorder="1" applyAlignment="1">
      <alignment horizontal="center"/>
    </xf>
    <xf numFmtId="0" fontId="2" fillId="12" borderId="51" xfId="0" applyFont="1" applyFill="1" applyBorder="1" applyAlignment="1">
      <alignment horizontal="center"/>
    </xf>
    <xf numFmtId="0" fontId="0" fillId="12" borderId="41" xfId="0" applyFill="1" applyBorder="1"/>
    <xf numFmtId="0" fontId="2" fillId="12" borderId="54" xfId="0" applyFont="1" applyFill="1" applyBorder="1" applyAlignment="1">
      <alignment horizontal="center"/>
    </xf>
    <xf numFmtId="0" fontId="2" fillId="12" borderId="52" xfId="0" applyFont="1" applyFill="1" applyBorder="1" applyAlignment="1">
      <alignment horizontal="center"/>
    </xf>
    <xf numFmtId="0" fontId="0" fillId="0" borderId="53" xfId="0" applyBorder="1"/>
    <xf numFmtId="0" fontId="2" fillId="12" borderId="50" xfId="0" applyFont="1" applyFill="1" applyBorder="1"/>
    <xf numFmtId="0" fontId="0" fillId="12" borderId="49" xfId="0" applyFill="1" applyBorder="1"/>
    <xf numFmtId="0" fontId="2" fillId="12" borderId="10" xfId="0" applyFont="1" applyFill="1" applyBorder="1"/>
    <xf numFmtId="0" fontId="2" fillId="12" borderId="38" xfId="0" applyFont="1" applyFill="1" applyBorder="1"/>
    <xf numFmtId="0" fontId="21" fillId="12" borderId="36" xfId="0" applyFont="1" applyFill="1" applyBorder="1" applyAlignment="1">
      <alignment textRotation="90" wrapText="1"/>
    </xf>
    <xf numFmtId="0" fontId="21" fillId="12" borderId="17" xfId="0" applyFont="1" applyFill="1" applyBorder="1" applyAlignment="1">
      <alignment textRotation="90" wrapText="1"/>
    </xf>
    <xf numFmtId="0" fontId="2" fillId="12" borderId="55" xfId="0" applyFont="1" applyFill="1" applyBorder="1"/>
    <xf numFmtId="164" fontId="0" fillId="0" borderId="0" xfId="0" applyNumberFormat="1" applyBorder="1"/>
    <xf numFmtId="164" fontId="0" fillId="2" borderId="1" xfId="0" applyNumberFormat="1" applyFill="1" applyBorder="1"/>
    <xf numFmtId="164" fontId="9" fillId="0" borderId="0" xfId="0" applyNumberFormat="1" applyFont="1" applyBorder="1"/>
    <xf numFmtId="164" fontId="0" fillId="2" borderId="1" xfId="0" applyNumberFormat="1" applyFill="1" applyBorder="1" applyAlignment="1">
      <alignment wrapText="1"/>
    </xf>
    <xf numFmtId="164" fontId="0" fillId="0" borderId="16" xfId="0" applyNumberFormat="1" applyBorder="1"/>
    <xf numFmtId="164" fontId="0" fillId="0" borderId="1" xfId="0" applyNumberFormat="1" applyBorder="1"/>
    <xf numFmtId="164" fontId="0" fillId="0" borderId="32" xfId="0" applyNumberFormat="1" applyBorder="1"/>
    <xf numFmtId="164" fontId="2" fillId="12" borderId="18" xfId="0" applyNumberFormat="1" applyFont="1" applyFill="1" applyBorder="1"/>
    <xf numFmtId="164" fontId="0" fillId="0" borderId="37" xfId="0" applyNumberFormat="1" applyBorder="1"/>
    <xf numFmtId="164" fontId="0" fillId="0" borderId="4" xfId="0" applyNumberFormat="1" applyBorder="1"/>
    <xf numFmtId="164" fontId="0" fillId="0" borderId="2" xfId="0" applyNumberFormat="1" applyBorder="1" applyAlignment="1"/>
    <xf numFmtId="164" fontId="0" fillId="0" borderId="2" xfId="0" applyNumberFormat="1" applyBorder="1"/>
    <xf numFmtId="164" fontId="2" fillId="12" borderId="24" xfId="0" applyNumberFormat="1" applyFont="1" applyFill="1" applyBorder="1"/>
    <xf numFmtId="1" fontId="0" fillId="5" borderId="1" xfId="0" applyNumberFormat="1" applyFill="1" applyBorder="1"/>
    <xf numFmtId="2" fontId="0" fillId="0" borderId="4" xfId="0" applyNumberFormat="1" applyBorder="1"/>
    <xf numFmtId="165" fontId="0" fillId="0" borderId="0" xfId="0" applyNumberFormat="1" applyBorder="1"/>
    <xf numFmtId="0" fontId="0" fillId="0" borderId="52" xfId="0" applyBorder="1" applyAlignment="1">
      <alignment horizontal="right"/>
    </xf>
    <xf numFmtId="9" fontId="0" fillId="0" borderId="54" xfId="0" applyNumberFormat="1" applyFill="1" applyBorder="1" applyAlignment="1">
      <alignment horizontal="right"/>
    </xf>
    <xf numFmtId="0" fontId="19" fillId="0" borderId="1" xfId="0" applyFont="1" applyBorder="1" applyAlignment="1">
      <alignment horizontal="right"/>
    </xf>
    <xf numFmtId="0" fontId="2" fillId="6" borderId="10" xfId="0" applyFont="1" applyFill="1" applyBorder="1"/>
    <xf numFmtId="0" fontId="2" fillId="4" borderId="1" xfId="0" applyFont="1" applyFill="1" applyBorder="1" applyAlignment="1">
      <alignment horizontal="center" vertical="center"/>
    </xf>
    <xf numFmtId="0" fontId="0" fillId="0" borderId="13" xfId="0" applyBorder="1"/>
    <xf numFmtId="0" fontId="2" fillId="13" borderId="49" xfId="0" applyFont="1" applyFill="1" applyBorder="1"/>
    <xf numFmtId="0" fontId="0" fillId="13" borderId="50" xfId="0" applyFill="1" applyBorder="1"/>
    <xf numFmtId="0" fontId="0" fillId="13" borderId="24" xfId="0" applyFill="1" applyBorder="1"/>
    <xf numFmtId="0" fontId="2" fillId="13" borderId="13" xfId="0" applyFont="1" applyFill="1" applyBorder="1"/>
    <xf numFmtId="0" fontId="0" fillId="13" borderId="19" xfId="0" applyFill="1" applyBorder="1"/>
    <xf numFmtId="0" fontId="0" fillId="13" borderId="14" xfId="0" applyFill="1" applyBorder="1"/>
    <xf numFmtId="4" fontId="2" fillId="14" borderId="24" xfId="0" applyNumberFormat="1" applyFont="1" applyFill="1" applyBorder="1"/>
    <xf numFmtId="4" fontId="0" fillId="6" borderId="10" xfId="0" applyNumberFormat="1" applyFill="1" applyBorder="1"/>
    <xf numFmtId="4" fontId="0" fillId="0" borderId="16" xfId="0" applyNumberFormat="1" applyBorder="1"/>
    <xf numFmtId="4" fontId="0" fillId="0" borderId="20" xfId="0" applyNumberFormat="1" applyBorder="1"/>
    <xf numFmtId="4" fontId="0" fillId="0" borderId="32" xfId="0" applyNumberFormat="1" applyBorder="1"/>
    <xf numFmtId="4" fontId="0" fillId="0" borderId="22" xfId="0" applyNumberFormat="1" applyBorder="1"/>
    <xf numFmtId="4" fontId="0" fillId="0" borderId="4" xfId="0" applyNumberFormat="1" applyBorder="1"/>
    <xf numFmtId="4" fontId="0" fillId="0" borderId="43" xfId="0" applyNumberFormat="1" applyBorder="1"/>
    <xf numFmtId="4" fontId="0" fillId="0" borderId="37" xfId="0" applyNumberFormat="1" applyBorder="1"/>
    <xf numFmtId="4" fontId="0" fillId="0" borderId="38" xfId="0" applyNumberFormat="1" applyBorder="1"/>
    <xf numFmtId="4" fontId="0" fillId="6" borderId="24" xfId="0" applyNumberFormat="1" applyFill="1" applyBorder="1"/>
    <xf numFmtId="4" fontId="0" fillId="0" borderId="1" xfId="0" applyNumberFormat="1" applyBorder="1"/>
    <xf numFmtId="4" fontId="0" fillId="0" borderId="21" xfId="0" applyNumberFormat="1" applyBorder="1"/>
    <xf numFmtId="2" fontId="2" fillId="14" borderId="14" xfId="0" applyNumberFormat="1" applyFont="1" applyFill="1" applyBorder="1"/>
    <xf numFmtId="0" fontId="0" fillId="0" borderId="19" xfId="0" applyFill="1" applyBorder="1"/>
    <xf numFmtId="0" fontId="2" fillId="0" borderId="0" xfId="0" applyFont="1" applyBorder="1" applyAlignment="1">
      <alignment horizontal="center" vertical="center" textRotation="90" wrapText="1"/>
    </xf>
    <xf numFmtId="0" fontId="2" fillId="0" borderId="19" xfId="0" applyFont="1" applyBorder="1" applyAlignment="1">
      <alignment textRotation="90" wrapText="1"/>
    </xf>
    <xf numFmtId="0" fontId="2" fillId="0" borderId="11" xfId="0" applyFont="1" applyBorder="1" applyAlignment="1">
      <alignment horizontal="center" vertical="center" textRotation="90"/>
    </xf>
    <xf numFmtId="0" fontId="2" fillId="0" borderId="17" xfId="0" applyFont="1" applyBorder="1" applyAlignment="1">
      <alignment horizontal="center" vertical="center" textRotation="90"/>
    </xf>
    <xf numFmtId="0" fontId="0" fillId="0" borderId="17" xfId="0" applyBorder="1" applyAlignment="1"/>
    <xf numFmtId="0" fontId="0" fillId="0" borderId="13" xfId="0" applyBorder="1" applyAlignment="1"/>
    <xf numFmtId="0" fontId="2" fillId="0" borderId="0" xfId="0" applyFont="1" applyBorder="1" applyAlignment="1">
      <alignment horizontal="center" vertical="center" textRotation="90"/>
    </xf>
    <xf numFmtId="0" fontId="0" fillId="0" borderId="0" xfId="0" applyBorder="1" applyAlignment="1">
      <alignment textRotation="90"/>
    </xf>
    <xf numFmtId="0" fontId="2" fillId="0" borderId="0" xfId="0" applyFont="1" applyBorder="1" applyAlignment="1">
      <alignment textRotation="90" wrapText="1"/>
    </xf>
    <xf numFmtId="0" fontId="12" fillId="7" borderId="0" xfId="0" applyFont="1" applyFill="1" applyAlignment="1">
      <alignment wrapText="1"/>
    </xf>
    <xf numFmtId="0" fontId="12" fillId="0" borderId="0" xfId="0" applyFont="1" applyAlignment="1"/>
    <xf numFmtId="0" fontId="2" fillId="0" borderId="13" xfId="0" applyFont="1" applyBorder="1" applyAlignment="1">
      <alignment horizontal="center" vertical="center" textRotation="90"/>
    </xf>
    <xf numFmtId="0" fontId="2" fillId="0" borderId="15" xfId="0" applyFont="1" applyBorder="1" applyAlignment="1"/>
    <xf numFmtId="0" fontId="2" fillId="0" borderId="23" xfId="0" applyFont="1" applyBorder="1" applyAlignment="1"/>
    <xf numFmtId="0" fontId="2" fillId="0" borderId="11"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13" xfId="0" applyBorder="1" applyAlignment="1">
      <alignment horizontal="center" vertical="center" textRotation="90" wrapText="1"/>
    </xf>
    <xf numFmtId="0" fontId="2" fillId="8" borderId="0" xfId="0" applyFont="1" applyFill="1" applyAlignment="1"/>
    <xf numFmtId="0" fontId="0" fillId="0" borderId="0" xfId="0" applyAlignment="1"/>
    <xf numFmtId="0" fontId="0" fillId="0" borderId="39" xfId="0" applyBorder="1" applyAlignment="1">
      <alignment horizontal="right" vertical="center" textRotation="90"/>
    </xf>
    <xf numFmtId="0" fontId="0" fillId="0" borderId="40" xfId="0" applyBorder="1" applyAlignment="1">
      <alignment horizontal="right" vertical="center" textRotation="90"/>
    </xf>
    <xf numFmtId="0" fontId="0" fillId="0" borderId="41" xfId="0" applyBorder="1" applyAlignment="1">
      <alignment horizontal="right" vertical="center"/>
    </xf>
    <xf numFmtId="0" fontId="0" fillId="0" borderId="34" xfId="0" applyBorder="1" applyAlignment="1">
      <alignment vertical="center" textRotation="90"/>
    </xf>
    <xf numFmtId="0" fontId="0" fillId="0" borderId="35" xfId="0" applyBorder="1" applyAlignment="1">
      <alignment vertical="center" textRotation="90"/>
    </xf>
    <xf numFmtId="0" fontId="0" fillId="0" borderId="44" xfId="0" applyBorder="1" applyAlignment="1">
      <alignment vertical="center" textRotation="90"/>
    </xf>
    <xf numFmtId="0" fontId="0" fillId="0" borderId="42" xfId="0" applyBorder="1" applyAlignment="1">
      <alignment vertical="center" textRotation="90"/>
    </xf>
    <xf numFmtId="0" fontId="3" fillId="0" borderId="34" xfId="0" applyFont="1" applyBorder="1" applyAlignment="1">
      <alignment textRotation="90" wrapText="1"/>
    </xf>
    <xf numFmtId="0" fontId="3" fillId="0" borderId="31" xfId="0" applyFont="1" applyBorder="1" applyAlignment="1">
      <alignment textRotation="90" wrapText="1"/>
    </xf>
    <xf numFmtId="0" fontId="2" fillId="11" borderId="25" xfId="0" applyFont="1" applyFill="1" applyBorder="1" applyAlignment="1"/>
    <xf numFmtId="0" fontId="2" fillId="11" borderId="26" xfId="0" applyFont="1" applyFill="1" applyBorder="1" applyAlignment="1"/>
    <xf numFmtId="0" fontId="2" fillId="11" borderId="27" xfId="0" applyFont="1" applyFill="1" applyBorder="1" applyAlignment="1"/>
    <xf numFmtId="0" fontId="2" fillId="11" borderId="2" xfId="0" applyFont="1" applyFill="1" applyBorder="1" applyAlignment="1"/>
    <xf numFmtId="0" fontId="0" fillId="0" borderId="2" xfId="0" applyBorder="1" applyAlignment="1"/>
    <xf numFmtId="0" fontId="0" fillId="0" borderId="6" xfId="0" applyBorder="1" applyAlignment="1"/>
    <xf numFmtId="0" fontId="3" fillId="0" borderId="39" xfId="0" applyFont="1" applyBorder="1" applyAlignment="1">
      <alignment textRotation="90" wrapText="1"/>
    </xf>
    <xf numFmtId="0" fontId="3" fillId="0" borderId="41" xfId="0" applyFont="1" applyBorder="1" applyAlignment="1">
      <alignment textRotation="90" wrapText="1"/>
    </xf>
    <xf numFmtId="0" fontId="3" fillId="0" borderId="42" xfId="0" applyFont="1" applyBorder="1" applyAlignment="1">
      <alignment textRotation="90" wrapText="1"/>
    </xf>
    <xf numFmtId="0" fontId="3" fillId="0" borderId="35" xfId="0" applyFont="1" applyBorder="1" applyAlignment="1"/>
    <xf numFmtId="0" fontId="2" fillId="11" borderId="36" xfId="0" applyFont="1" applyFill="1" applyBorder="1" applyAlignment="1"/>
    <xf numFmtId="0" fontId="2" fillId="0" borderId="37" xfId="0" applyFont="1" applyBorder="1" applyAlignment="1"/>
    <xf numFmtId="0" fontId="2" fillId="11" borderId="37" xfId="0" applyFont="1" applyFill="1" applyBorder="1" applyAlignment="1"/>
    <xf numFmtId="0" fontId="2" fillId="0" borderId="26" xfId="0" applyFont="1" applyBorder="1" applyAlignment="1"/>
    <xf numFmtId="0" fontId="0" fillId="0" borderId="34" xfId="0" applyBorder="1" applyAlignment="1">
      <alignment textRotation="90" wrapText="1"/>
    </xf>
    <xf numFmtId="0" fontId="0" fillId="0" borderId="35" xfId="0" applyBorder="1" applyAlignment="1">
      <alignment textRotation="90" wrapText="1"/>
    </xf>
    <xf numFmtId="0" fontId="0" fillId="0" borderId="31" xfId="0" applyBorder="1" applyAlignment="1">
      <alignment textRotation="90" wrapText="1"/>
    </xf>
    <xf numFmtId="0" fontId="2" fillId="0" borderId="1" xfId="0" applyFont="1" applyBorder="1" applyAlignment="1"/>
    <xf numFmtId="0" fontId="2" fillId="0" borderId="5" xfId="0" applyFont="1" applyBorder="1" applyAlignment="1"/>
    <xf numFmtId="0" fontId="2" fillId="0" borderId="8" xfId="0" applyFont="1" applyBorder="1" applyAlignment="1"/>
    <xf numFmtId="0" fontId="2" fillId="0" borderId="9" xfId="0" applyFont="1" applyBorder="1" applyAlignment="1"/>
    <xf numFmtId="0" fontId="2" fillId="0" borderId="1" xfId="0" applyFont="1" applyBorder="1" applyAlignment="1">
      <alignment vertical="top"/>
    </xf>
    <xf numFmtId="0" fontId="0" fillId="0" borderId="1" xfId="0" applyBorder="1" applyAlignment="1">
      <alignment vertical="top"/>
    </xf>
    <xf numFmtId="0" fontId="5" fillId="0" borderId="0" xfId="0" applyFont="1" applyFill="1" applyBorder="1" applyAlignment="1">
      <alignment vertical="top" wrapText="1"/>
    </xf>
    <xf numFmtId="0" fontId="6" fillId="0" borderId="0"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2" fillId="6" borderId="0" xfId="0" applyFont="1" applyFill="1" applyAlignment="1">
      <alignment wrapText="1"/>
    </xf>
    <xf numFmtId="0" fontId="0" fillId="3" borderId="0" xfId="0" applyFill="1" applyAlignment="1"/>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4" fillId="0" borderId="0" xfId="0" applyFont="1" applyAlignment="1"/>
    <xf numFmtId="0" fontId="0" fillId="0" borderId="1" xfId="0" applyFont="1" applyFill="1" applyBorder="1" applyAlignment="1">
      <alignment vertical="top" wrapText="1"/>
    </xf>
    <xf numFmtId="0" fontId="0" fillId="0" borderId="1" xfId="0"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2" fillId="0" borderId="1" xfId="0" applyFont="1" applyFill="1" applyBorder="1" applyAlignment="1">
      <alignment vertical="top" wrapText="1"/>
    </xf>
    <xf numFmtId="0" fontId="0" fillId="9" borderId="0" xfId="0" applyFill="1" applyAlignment="1"/>
    <xf numFmtId="0" fontId="0" fillId="4" borderId="0" xfId="0" applyFill="1" applyAlignment="1"/>
    <xf numFmtId="0" fontId="0" fillId="7" borderId="0" xfId="0" applyFill="1" applyAlignment="1">
      <alignment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wrapText="1"/>
    </xf>
    <xf numFmtId="0" fontId="2" fillId="0" borderId="4" xfId="0" applyFont="1" applyBorder="1" applyAlignment="1">
      <alignment wrapText="1"/>
    </xf>
    <xf numFmtId="0" fontId="10" fillId="0" borderId="1" xfId="0" applyFont="1" applyBorder="1" applyAlignment="1">
      <alignment horizontal="center" vertical="center"/>
    </xf>
    <xf numFmtId="0" fontId="12" fillId="4" borderId="0" xfId="0" applyFont="1" applyFill="1" applyAlignment="1"/>
    <xf numFmtId="0" fontId="21" fillId="0" borderId="39" xfId="0" applyFont="1" applyBorder="1" applyAlignment="1">
      <alignment horizontal="center" vertical="center" textRotation="90" wrapText="1"/>
    </xf>
    <xf numFmtId="0" fontId="21" fillId="0" borderId="40" xfId="0" applyFont="1" applyBorder="1" applyAlignment="1">
      <alignment horizontal="center" vertical="center" textRotation="90" wrapText="1"/>
    </xf>
    <xf numFmtId="0" fontId="2"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 fillId="0" borderId="34" xfId="0" applyFont="1" applyBorder="1" applyAlignment="1">
      <alignment vertical="center" textRotation="90"/>
    </xf>
    <xf numFmtId="0" fontId="2" fillId="0" borderId="35" xfId="0" applyFont="1" applyBorder="1" applyAlignment="1">
      <alignment vertical="center" textRotation="90"/>
    </xf>
    <xf numFmtId="0" fontId="2" fillId="0" borderId="31" xfId="0" applyFont="1" applyBorder="1" applyAlignment="1">
      <alignment vertical="center" textRotation="90"/>
    </xf>
    <xf numFmtId="0" fontId="2" fillId="0" borderId="42" xfId="0" applyFont="1" applyBorder="1" applyAlignment="1">
      <alignment vertical="center" textRotation="90"/>
    </xf>
    <xf numFmtId="0" fontId="2" fillId="0" borderId="44" xfId="0" applyFont="1" applyBorder="1" applyAlignment="1">
      <alignment vertical="center" textRotation="90"/>
    </xf>
    <xf numFmtId="0" fontId="21" fillId="0" borderId="42" xfId="0" applyFont="1" applyBorder="1" applyAlignment="1">
      <alignment textRotation="90" wrapText="1"/>
    </xf>
    <xf numFmtId="0" fontId="21" fillId="0" borderId="44" xfId="0" applyFont="1" applyBorder="1" applyAlignment="1">
      <alignment textRotation="90" wrapText="1"/>
    </xf>
    <xf numFmtId="0" fontId="2" fillId="11" borderId="11" xfId="0" applyFont="1" applyFill="1" applyBorder="1" applyAlignment="1"/>
    <xf numFmtId="0" fontId="2" fillId="11" borderId="15" xfId="0" applyFont="1" applyFill="1" applyBorder="1" applyAlignment="1"/>
    <xf numFmtId="0" fontId="0" fillId="0" borderId="12" xfId="0" applyBorder="1" applyAlignment="1"/>
    <xf numFmtId="2" fontId="2" fillId="0" borderId="39" xfId="0" applyNumberFormat="1" applyFont="1" applyFill="1" applyBorder="1" applyAlignment="1">
      <alignment textRotation="90"/>
    </xf>
    <xf numFmtId="2" fontId="0" fillId="0" borderId="40" xfId="0" applyNumberFormat="1" applyBorder="1" applyAlignment="1">
      <alignment textRotation="90"/>
    </xf>
    <xf numFmtId="2" fontId="0" fillId="0" borderId="41" xfId="0" applyNumberFormat="1" applyBorder="1" applyAlignment="1">
      <alignment textRotation="90"/>
    </xf>
    <xf numFmtId="0" fontId="21" fillId="0" borderId="34" xfId="0" applyFont="1" applyBorder="1" applyAlignment="1">
      <alignment horizontal="center" vertical="center" textRotation="90" wrapText="1"/>
    </xf>
    <xf numFmtId="0" fontId="0" fillId="0" borderId="35" xfId="0" applyBorder="1" applyAlignment="1">
      <alignment horizontal="center" vertical="center"/>
    </xf>
    <xf numFmtId="0" fontId="0" fillId="0" borderId="35" xfId="0" applyBorder="1" applyAlignment="1"/>
    <xf numFmtId="0" fontId="0" fillId="0" borderId="31" xfId="0" applyBorder="1" applyAlignment="1"/>
    <xf numFmtId="0" fontId="2" fillId="11" borderId="12" xfId="0" applyFont="1" applyFill="1" applyBorder="1" applyAlignment="1"/>
    <xf numFmtId="0" fontId="21" fillId="0" borderId="42" xfId="0" applyFont="1" applyBorder="1" applyAlignment="1">
      <alignment horizontal="center" vertical="center" textRotation="90" wrapText="1"/>
    </xf>
    <xf numFmtId="0" fontId="21" fillId="0" borderId="35" xfId="0" applyFont="1" applyBorder="1" applyAlignment="1">
      <alignment horizontal="center" vertical="center" textRotation="90" wrapText="1"/>
    </xf>
    <xf numFmtId="0" fontId="2" fillId="0" borderId="35"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Fill="1" applyBorder="1" applyAlignment="1">
      <alignment horizontal="center" vertical="center" textRotation="90"/>
    </xf>
    <xf numFmtId="0" fontId="0" fillId="0" borderId="40" xfId="0" applyBorder="1" applyAlignment="1">
      <alignment horizontal="center" vertical="center" textRotation="90"/>
    </xf>
    <xf numFmtId="0" fontId="2" fillId="11" borderId="38" xfId="0" applyFont="1" applyFill="1" applyBorder="1" applyAlignment="1"/>
    <xf numFmtId="0" fontId="0" fillId="0" borderId="41" xfId="0" applyBorder="1" applyAlignment="1">
      <alignment horizontal="center" vertical="center" textRotation="90"/>
    </xf>
    <xf numFmtId="0" fontId="2" fillId="0" borderId="34" xfId="0" applyFont="1" applyFill="1" applyBorder="1" applyAlignment="1">
      <alignment horizontal="center" vertical="center" textRotation="90"/>
    </xf>
    <xf numFmtId="0" fontId="0" fillId="0" borderId="35" xfId="0" applyBorder="1" applyAlignment="1">
      <alignment horizontal="center" vertical="center" textRotation="90"/>
    </xf>
    <xf numFmtId="0" fontId="0" fillId="0" borderId="31" xfId="0" applyBorder="1" applyAlignment="1">
      <alignment horizontal="center" vertical="center" textRotation="90"/>
    </xf>
    <xf numFmtId="0" fontId="2" fillId="12" borderId="33" xfId="0" applyFont="1" applyFill="1" applyBorder="1" applyAlignment="1">
      <alignment horizontal="center"/>
    </xf>
    <xf numFmtId="0" fontId="15" fillId="0" borderId="49" xfId="0" applyFont="1" applyBorder="1"/>
    <xf numFmtId="0" fontId="0" fillId="0" borderId="24" xfId="0" applyBorder="1"/>
    <xf numFmtId="164" fontId="2" fillId="12" borderId="18" xfId="0" applyNumberFormat="1" applyFont="1" applyFill="1" applyBorder="1" applyAlignment="1">
      <alignment horizontal="center"/>
    </xf>
    <xf numFmtId="0" fontId="2" fillId="12" borderId="18" xfId="0" applyFont="1" applyFill="1" applyBorder="1" applyAlignment="1">
      <alignment horizontal="center"/>
    </xf>
    <xf numFmtId="0" fontId="21" fillId="12" borderId="41" xfId="0" applyFont="1" applyFill="1" applyBorder="1" applyAlignment="1">
      <alignment textRotation="90" wrapText="1"/>
    </xf>
    <xf numFmtId="0" fontId="2" fillId="12" borderId="4" xfId="0" applyFont="1" applyFill="1" applyBorder="1" applyAlignment="1">
      <alignment horizontal="center"/>
    </xf>
    <xf numFmtId="0" fontId="0" fillId="0" borderId="37" xfId="0" applyBorder="1" applyAlignment="1"/>
    <xf numFmtId="0" fontId="0" fillId="0" borderId="38" xfId="0" applyBorder="1" applyAlignment="1"/>
    <xf numFmtId="0" fontId="2" fillId="12" borderId="18" xfId="0" applyFont="1" applyFill="1" applyBorder="1" applyAlignment="1">
      <alignment horizontal="center" wrapText="1"/>
    </xf>
    <xf numFmtId="4" fontId="0" fillId="6" borderId="10" xfId="0" applyNumberFormat="1" applyFont="1" applyFill="1" applyBorder="1"/>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2</xdr:row>
      <xdr:rowOff>257175</xdr:rowOff>
    </xdr:from>
    <xdr:to>
      <xdr:col>8</xdr:col>
      <xdr:colOff>590550</xdr:colOff>
      <xdr:row>4</xdr:row>
      <xdr:rowOff>180975</xdr:rowOff>
    </xdr:to>
    <xdr:cxnSp macro="">
      <xdr:nvCxnSpPr>
        <xdr:cNvPr id="8" name="7 - Ευθύγραμμο βέλος σύνδεσης"/>
        <xdr:cNvCxnSpPr/>
      </xdr:nvCxnSpPr>
      <xdr:spPr>
        <a:xfrm flipH="1">
          <a:off x="4162425" y="647700"/>
          <a:ext cx="5695950" cy="50482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990600</xdr:colOff>
      <xdr:row>3</xdr:row>
      <xdr:rowOff>0</xdr:rowOff>
    </xdr:from>
    <xdr:to>
      <xdr:col>9</xdr:col>
      <xdr:colOff>1000126</xdr:colOff>
      <xdr:row>4</xdr:row>
      <xdr:rowOff>180975</xdr:rowOff>
    </xdr:to>
    <xdr:cxnSp macro="">
      <xdr:nvCxnSpPr>
        <xdr:cNvPr id="10" name="9 - Ευθύγραμμο βέλος σύνδεσης"/>
        <xdr:cNvCxnSpPr/>
      </xdr:nvCxnSpPr>
      <xdr:spPr>
        <a:xfrm>
          <a:off x="10868025" y="781050"/>
          <a:ext cx="9526" cy="371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590550</xdr:colOff>
      <xdr:row>2</xdr:row>
      <xdr:rowOff>247650</xdr:rowOff>
    </xdr:from>
    <xdr:to>
      <xdr:col>14</xdr:col>
      <xdr:colOff>781050</xdr:colOff>
      <xdr:row>4</xdr:row>
      <xdr:rowOff>180975</xdr:rowOff>
    </xdr:to>
    <xdr:cxnSp macro="">
      <xdr:nvCxnSpPr>
        <xdr:cNvPr id="15" name="14 - Ευθύγραμμο βέλος σύνδεσης"/>
        <xdr:cNvCxnSpPr/>
      </xdr:nvCxnSpPr>
      <xdr:spPr>
        <a:xfrm>
          <a:off x="12287250" y="638175"/>
          <a:ext cx="2628900" cy="514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981075</xdr:colOff>
      <xdr:row>12</xdr:row>
      <xdr:rowOff>9525</xdr:rowOff>
    </xdr:from>
    <xdr:to>
      <xdr:col>9</xdr:col>
      <xdr:colOff>990601</xdr:colOff>
      <xdr:row>13</xdr:row>
      <xdr:rowOff>0</xdr:rowOff>
    </xdr:to>
    <xdr:cxnSp macro="">
      <xdr:nvCxnSpPr>
        <xdr:cNvPr id="5" name="4 - Ευθύγραμμο βέλος σύνδεσης"/>
        <xdr:cNvCxnSpPr/>
      </xdr:nvCxnSpPr>
      <xdr:spPr>
        <a:xfrm>
          <a:off x="10782300" y="2324100"/>
          <a:ext cx="9526" cy="371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1123950</xdr:colOff>
      <xdr:row>14</xdr:row>
      <xdr:rowOff>34925</xdr:rowOff>
    </xdr:from>
    <xdr:to>
      <xdr:col>14</xdr:col>
      <xdr:colOff>1130300</xdr:colOff>
      <xdr:row>18</xdr:row>
      <xdr:rowOff>12700</xdr:rowOff>
    </xdr:to>
    <xdr:cxnSp macro="">
      <xdr:nvCxnSpPr>
        <xdr:cNvPr id="6" name="5 - Ευθύγραμμο βέλος σύνδεσης"/>
        <xdr:cNvCxnSpPr/>
      </xdr:nvCxnSpPr>
      <xdr:spPr>
        <a:xfrm>
          <a:off x="17405350" y="2765425"/>
          <a:ext cx="6350" cy="7397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1352550</xdr:colOff>
      <xdr:row>48</xdr:row>
      <xdr:rowOff>9525</xdr:rowOff>
    </xdr:from>
    <xdr:to>
      <xdr:col>3</xdr:col>
      <xdr:colOff>1362076</xdr:colOff>
      <xdr:row>50</xdr:row>
      <xdr:rowOff>0</xdr:rowOff>
    </xdr:to>
    <xdr:cxnSp macro="">
      <xdr:nvCxnSpPr>
        <xdr:cNvPr id="7" name="6 - Ευθύγραμμο βέλος σύνδεσης"/>
        <xdr:cNvCxnSpPr/>
      </xdr:nvCxnSpPr>
      <xdr:spPr>
        <a:xfrm>
          <a:off x="3590925" y="11191875"/>
          <a:ext cx="9526" cy="3714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361951</xdr:colOff>
      <xdr:row>5</xdr:row>
      <xdr:rowOff>19052</xdr:rowOff>
    </xdr:from>
    <xdr:to>
      <xdr:col>5</xdr:col>
      <xdr:colOff>361953</xdr:colOff>
      <xdr:row>6</xdr:row>
      <xdr:rowOff>180973</xdr:rowOff>
    </xdr:to>
    <xdr:cxnSp macro="">
      <xdr:nvCxnSpPr>
        <xdr:cNvPr id="2" name="1 - Ευθύγραμμο βέλος σύνδεσης"/>
        <xdr:cNvCxnSpPr/>
      </xdr:nvCxnSpPr>
      <xdr:spPr>
        <a:xfrm rot="16200000" flipH="1">
          <a:off x="6510341" y="1147762"/>
          <a:ext cx="352421" cy="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65</xdr:row>
      <xdr:rowOff>95250</xdr:rowOff>
    </xdr:from>
    <xdr:to>
      <xdr:col>8</xdr:col>
      <xdr:colOff>19050</xdr:colOff>
      <xdr:row>65</xdr:row>
      <xdr:rowOff>114301</xdr:rowOff>
    </xdr:to>
    <xdr:cxnSp macro="">
      <xdr:nvCxnSpPr>
        <xdr:cNvPr id="9" name="8 - Ευθύγραμμο βέλος σύνδεσης"/>
        <xdr:cNvCxnSpPr/>
      </xdr:nvCxnSpPr>
      <xdr:spPr>
        <a:xfrm flipV="1">
          <a:off x="8601075" y="15573375"/>
          <a:ext cx="619125" cy="1905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885830</xdr:colOff>
      <xdr:row>0</xdr:row>
      <xdr:rowOff>114299</xdr:rowOff>
    </xdr:from>
    <xdr:to>
      <xdr:col>5</xdr:col>
      <xdr:colOff>9528</xdr:colOff>
      <xdr:row>2</xdr:row>
      <xdr:rowOff>19044</xdr:rowOff>
    </xdr:to>
    <xdr:cxnSp macro="">
      <xdr:nvCxnSpPr>
        <xdr:cNvPr id="2" name="1 - Ευθύγραμμο βέλος σύνδεσης"/>
        <xdr:cNvCxnSpPr/>
      </xdr:nvCxnSpPr>
      <xdr:spPr>
        <a:xfrm rot="10800000" flipV="1">
          <a:off x="7705730" y="114299"/>
          <a:ext cx="990598" cy="28574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52"/>
  <sheetViews>
    <sheetView tabSelected="1" workbookViewId="0">
      <selection activeCell="J3" sqref="J3"/>
    </sheetView>
  </sheetViews>
  <sheetFormatPr defaultColWidth="8.85546875" defaultRowHeight="15"/>
  <cols>
    <col min="3" max="3" width="15.28515625" customWidth="1"/>
    <col min="4" max="4" width="43.42578125" customWidth="1"/>
    <col min="5" max="5" width="17" customWidth="1"/>
    <col min="6" max="6" width="17.42578125" customWidth="1"/>
    <col min="7" max="7" width="17" customWidth="1"/>
    <col min="8" max="8" width="9.28515625" customWidth="1"/>
    <col min="10" max="10" width="32.140625" customWidth="1"/>
    <col min="15" max="15" width="33.42578125" customWidth="1"/>
    <col min="16" max="16" width="9.28515625" bestFit="1" customWidth="1"/>
    <col min="17" max="17" width="12.42578125" customWidth="1"/>
    <col min="20" max="20" width="12.28515625" customWidth="1"/>
  </cols>
  <sheetData>
    <row r="1" spans="1:16" ht="15.75" thickBot="1">
      <c r="C1" s="100" t="s">
        <v>351</v>
      </c>
      <c r="D1" s="38"/>
      <c r="E1" s="38"/>
    </row>
    <row r="2" spans="1:16">
      <c r="C2" s="258" t="s">
        <v>352</v>
      </c>
      <c r="D2" s="258"/>
      <c r="E2" s="258"/>
      <c r="J2" s="40" t="s">
        <v>0</v>
      </c>
      <c r="K2" s="41">
        <f>(E6/K6)*100</f>
        <v>96.521064439408434</v>
      </c>
    </row>
    <row r="3" spans="1:16" ht="15" customHeight="1" thickBot="1">
      <c r="C3" s="258" t="s">
        <v>353</v>
      </c>
      <c r="D3" s="258"/>
      <c r="E3" s="258"/>
      <c r="J3" s="52" t="s">
        <v>1</v>
      </c>
      <c r="K3" s="42">
        <f>(K6/E6)*P6</f>
        <v>37653.879507092555</v>
      </c>
    </row>
    <row r="4" spans="1:16" ht="15" customHeight="1">
      <c r="C4" s="258" t="s">
        <v>354</v>
      </c>
      <c r="D4" s="259"/>
      <c r="E4" s="259"/>
    </row>
    <row r="5" spans="1:16" ht="15.75" thickBot="1"/>
    <row r="6" spans="1:16" ht="15" customHeight="1">
      <c r="A6" s="251" t="s">
        <v>3</v>
      </c>
      <c r="B6" s="43"/>
      <c r="C6" s="43"/>
      <c r="D6" s="44" t="s">
        <v>2</v>
      </c>
      <c r="E6" s="57">
        <f>SUM(G9:G19,G21:G28,G30:G31,G33:G33,G35:G46,G48)</f>
        <v>181004.07770415125</v>
      </c>
      <c r="F6" s="45"/>
      <c r="G6" s="46"/>
      <c r="I6" s="263" t="s">
        <v>63</v>
      </c>
      <c r="J6" s="44" t="s">
        <v>29</v>
      </c>
      <c r="K6" s="53">
        <f>SUM(K8:K12)</f>
        <v>187528.05800000002</v>
      </c>
      <c r="M6" s="251" t="s">
        <v>30</v>
      </c>
      <c r="N6" s="261" t="s">
        <v>30</v>
      </c>
      <c r="O6" s="262"/>
      <c r="P6" s="53">
        <f>SUM(P8:P14)</f>
        <v>36343.925302978016</v>
      </c>
    </row>
    <row r="7" spans="1:16">
      <c r="A7" s="252"/>
      <c r="B7" s="47"/>
      <c r="C7" s="47"/>
      <c r="D7" s="48" t="s">
        <v>61</v>
      </c>
      <c r="E7" s="20"/>
      <c r="F7" s="20"/>
      <c r="G7" s="49"/>
      <c r="I7" s="264"/>
      <c r="J7" s="48" t="s">
        <v>62</v>
      </c>
      <c r="K7" s="49"/>
      <c r="M7" s="252"/>
      <c r="N7" s="20"/>
      <c r="O7" s="48" t="s">
        <v>97</v>
      </c>
      <c r="P7" s="49"/>
    </row>
    <row r="8" spans="1:16">
      <c r="A8" s="252"/>
      <c r="B8" s="255" t="s">
        <v>125</v>
      </c>
      <c r="C8" s="60" t="s">
        <v>151</v>
      </c>
      <c r="D8" s="19" t="s">
        <v>88</v>
      </c>
      <c r="E8" s="1" t="s">
        <v>152</v>
      </c>
      <c r="F8" s="1" t="s">
        <v>126</v>
      </c>
      <c r="G8" s="1" t="s">
        <v>127</v>
      </c>
      <c r="I8" s="264"/>
      <c r="J8" s="20" t="s">
        <v>64</v>
      </c>
      <c r="K8" s="54">
        <f>Biocapacity!F4</f>
        <v>171471.53100000002</v>
      </c>
      <c r="M8" s="252"/>
      <c r="N8" s="20">
        <v>1</v>
      </c>
      <c r="O8" s="20" t="s">
        <v>98</v>
      </c>
      <c r="P8" s="54">
        <f>Population!D9</f>
        <v>29276</v>
      </c>
    </row>
    <row r="9" spans="1:16">
      <c r="A9" s="252"/>
      <c r="B9" s="256"/>
      <c r="C9" s="88" t="s">
        <v>199</v>
      </c>
      <c r="D9" s="20" t="s">
        <v>11</v>
      </c>
      <c r="E9" s="221">
        <f>'Ecological Footprint'!E10+'Ecological Footprint'!E80</f>
        <v>2197.5774799999999</v>
      </c>
      <c r="F9" s="206">
        <f>'Ecological Footprint'!F10</f>
        <v>0.30759999999999998</v>
      </c>
      <c r="G9" s="49">
        <f>F9*E9</f>
        <v>675.97483284799989</v>
      </c>
      <c r="I9" s="264"/>
      <c r="J9" s="20" t="s">
        <v>65</v>
      </c>
      <c r="K9" s="54">
        <f>Biocapacity!F5</f>
        <v>4528.3599999999997</v>
      </c>
      <c r="M9" s="252"/>
      <c r="N9" s="20">
        <v>2</v>
      </c>
      <c r="O9" s="20" t="s">
        <v>99</v>
      </c>
      <c r="P9" s="54">
        <f>(Population!D9*'Ecological Footprint'!G40)/'Ecological Footprint'!G8</f>
        <v>2288.1193081295105</v>
      </c>
    </row>
    <row r="10" spans="1:16">
      <c r="A10" s="252"/>
      <c r="B10" s="256"/>
      <c r="C10" s="88" t="s">
        <v>200</v>
      </c>
      <c r="D10" s="20" t="s">
        <v>26</v>
      </c>
      <c r="E10" s="221">
        <f>'Ecological Footprint'!E11+'Ecological Footprint'!E81</f>
        <v>4189.1320712500001</v>
      </c>
      <c r="F10" s="206">
        <f>'Ecological Footprint'!F11</f>
        <v>9.6000000000000002E-2</v>
      </c>
      <c r="G10" s="49">
        <f t="shared" ref="G10:G19" si="0">F10*E10</f>
        <v>402.15667884000004</v>
      </c>
      <c r="I10" s="264"/>
      <c r="J10" s="20" t="s">
        <v>66</v>
      </c>
      <c r="K10" s="54">
        <f>Biocapacity!F6</f>
        <v>3930.8352000000009</v>
      </c>
      <c r="M10" s="252"/>
      <c r="N10" s="56">
        <v>3</v>
      </c>
      <c r="O10" s="20" t="s">
        <v>100</v>
      </c>
      <c r="P10" s="54">
        <f>(Population!D9*'Ecological Footprint'!G46)/'Ecological Footprint'!G8</f>
        <v>270.59789604830615</v>
      </c>
    </row>
    <row r="11" spans="1:16">
      <c r="A11" s="252"/>
      <c r="B11" s="256"/>
      <c r="C11" s="88" t="s">
        <v>201</v>
      </c>
      <c r="D11" s="20" t="s">
        <v>12</v>
      </c>
      <c r="E11" s="221">
        <f>'Ecological Footprint'!E12+'Ecological Footprint'!E82</f>
        <v>274.69718499999999</v>
      </c>
      <c r="F11" s="206">
        <f>'Ecological Footprint'!F12</f>
        <v>0.33550000000000002</v>
      </c>
      <c r="G11" s="49">
        <f t="shared" si="0"/>
        <v>92.160905567500009</v>
      </c>
      <c r="I11" s="264"/>
      <c r="J11" s="20" t="s">
        <v>68</v>
      </c>
      <c r="K11" s="54">
        <f>Biocapacity!F7</f>
        <v>1657.3647999999998</v>
      </c>
      <c r="M11" s="252"/>
      <c r="N11" s="20">
        <v>4</v>
      </c>
      <c r="O11" s="20" t="s">
        <v>643</v>
      </c>
      <c r="P11" s="54">
        <f>(Population!D9*'Ecological Footprint'!G52)/'Ecological Footprint'!G8</f>
        <v>158.31072180932154</v>
      </c>
    </row>
    <row r="12" spans="1:16" ht="15.75" thickBot="1">
      <c r="A12" s="252"/>
      <c r="B12" s="256"/>
      <c r="C12" s="88" t="s">
        <v>202</v>
      </c>
      <c r="D12" s="20" t="s">
        <v>16</v>
      </c>
      <c r="E12" s="221">
        <f>'Ecological Footprint'!E13+'Ecological Footprint'!E83</f>
        <v>1098.78874</v>
      </c>
      <c r="F12" s="206">
        <f>'Ecological Footprint'!F13</f>
        <v>0.66700000000000004</v>
      </c>
      <c r="G12" s="49">
        <f t="shared" si="0"/>
        <v>732.89208958000006</v>
      </c>
      <c r="I12" s="265"/>
      <c r="J12" s="51" t="s">
        <v>67</v>
      </c>
      <c r="K12" s="55">
        <f>Biocapacity!F8</f>
        <v>5939.9670000000006</v>
      </c>
      <c r="M12" s="252"/>
      <c r="N12" s="20">
        <v>5</v>
      </c>
      <c r="O12" s="20" t="s">
        <v>101</v>
      </c>
      <c r="P12" s="54">
        <f>(Population!D9*'Ecological Footprint'!G57)/'Ecological Footprint'!G8</f>
        <v>3527.2443564500227</v>
      </c>
    </row>
    <row r="13" spans="1:16" ht="15.75" thickBot="1">
      <c r="A13" s="252"/>
      <c r="B13" s="256"/>
      <c r="C13" s="88" t="s">
        <v>203</v>
      </c>
      <c r="D13" s="20" t="s">
        <v>17</v>
      </c>
      <c r="E13" s="221">
        <f>'Ecological Footprint'!E14+'Ecological Footprint'!E84</f>
        <v>618.06866624999998</v>
      </c>
      <c r="F13" s="206">
        <f>'Ecological Footprint'!F14</f>
        <v>0.42299999999999999</v>
      </c>
      <c r="G13" s="49">
        <f t="shared" si="0"/>
        <v>261.44304582374997</v>
      </c>
      <c r="H13" s="6"/>
      <c r="K13" s="2"/>
      <c r="L13" s="2"/>
      <c r="M13" s="260"/>
      <c r="N13" s="51">
        <v>6</v>
      </c>
      <c r="O13" s="51" t="s">
        <v>102</v>
      </c>
      <c r="P13" s="55">
        <f>(Population!D9*'Ecological Footprint'!G64)/'Ecological Footprint'!G8</f>
        <v>176.95882844574021</v>
      </c>
    </row>
    <row r="14" spans="1:16" ht="15.75" thickBot="1">
      <c r="A14" s="253"/>
      <c r="B14" s="256"/>
      <c r="C14" s="88" t="s">
        <v>204</v>
      </c>
      <c r="D14" s="20" t="s">
        <v>23</v>
      </c>
      <c r="E14" s="221">
        <f>'Ecological Footprint'!E15+'Ecological Footprint'!E85</f>
        <v>3708.4119974999999</v>
      </c>
      <c r="F14" s="206">
        <f>'Ecological Footprint'!F15</f>
        <v>0.68130000000000002</v>
      </c>
      <c r="G14" s="49">
        <f t="shared" si="0"/>
        <v>2526.5410938967498</v>
      </c>
      <c r="J14" s="102" t="s">
        <v>355</v>
      </c>
      <c r="M14" s="227"/>
      <c r="N14" s="248">
        <v>7</v>
      </c>
      <c r="O14" s="248" t="s">
        <v>659</v>
      </c>
      <c r="P14" s="55">
        <f>(Population!D9*'Ecological Footprint'!G78)/'Ecological Footprint'!G8</f>
        <v>646.69419209511375</v>
      </c>
    </row>
    <row r="15" spans="1:16">
      <c r="A15" s="253"/>
      <c r="B15" s="256"/>
      <c r="C15" s="88" t="s">
        <v>205</v>
      </c>
      <c r="D15" s="20" t="s">
        <v>423</v>
      </c>
      <c r="E15" s="221">
        <f>'Ecological Footprint'!E16+'Ecological Footprint'!E86</f>
        <v>37015.445678750002</v>
      </c>
      <c r="F15" s="206">
        <f>'Ecological Footprint'!F16</f>
        <v>0.74299999999999999</v>
      </c>
      <c r="G15" s="49">
        <f t="shared" si="0"/>
        <v>27502.476139311253</v>
      </c>
      <c r="J15" s="102" t="s">
        <v>356</v>
      </c>
    </row>
    <row r="16" spans="1:16">
      <c r="A16" s="253"/>
      <c r="B16" s="256"/>
      <c r="C16" s="88" t="s">
        <v>206</v>
      </c>
      <c r="D16" s="20" t="s">
        <v>27</v>
      </c>
      <c r="E16" s="221">
        <f>'Ecological Footprint'!E17+'Ecological Footprint'!E87</f>
        <v>12292.699028749998</v>
      </c>
      <c r="F16" s="206">
        <f>'Ecological Footprint'!F17</f>
        <v>2.11</v>
      </c>
      <c r="G16" s="49">
        <f t="shared" si="0"/>
        <v>25937.594950662493</v>
      </c>
    </row>
    <row r="17" spans="1:15">
      <c r="A17" s="253"/>
      <c r="B17" s="256"/>
      <c r="C17" s="88" t="s">
        <v>207</v>
      </c>
      <c r="D17" s="50" t="s">
        <v>25</v>
      </c>
      <c r="E17" s="221">
        <f>'Ecological Footprint'!E18+'Ecological Footprint'!E88</f>
        <v>68.051921074999996</v>
      </c>
      <c r="F17" s="206">
        <f>'Ecological Footprint'!F18</f>
        <v>1.1399999999999999</v>
      </c>
      <c r="G17" s="49">
        <f t="shared" si="0"/>
        <v>77.579190025499983</v>
      </c>
    </row>
    <row r="18" spans="1:15">
      <c r="A18" s="253"/>
      <c r="B18" s="256"/>
      <c r="C18" s="88" t="s">
        <v>208</v>
      </c>
      <c r="D18" s="50" t="s">
        <v>119</v>
      </c>
      <c r="E18" s="221">
        <f>'Ecological Footprint'!E19+'Ecological Footprint'!E89</f>
        <v>6867.4296249999998</v>
      </c>
      <c r="F18" s="206">
        <f>'Ecological Footprint'!F19</f>
        <v>0.5736</v>
      </c>
      <c r="G18" s="49">
        <f t="shared" si="0"/>
        <v>3939.1576329</v>
      </c>
    </row>
    <row r="19" spans="1:15">
      <c r="A19" s="253"/>
      <c r="B19" s="256"/>
      <c r="C19" s="88" t="s">
        <v>209</v>
      </c>
      <c r="D19" s="20" t="s">
        <v>28</v>
      </c>
      <c r="E19" s="221">
        <f>'Ecological Footprint'!E20+'Ecological Footprint'!E90</f>
        <v>892.76585124999997</v>
      </c>
      <c r="F19" s="206">
        <f>'Ecological Footprint'!F20</f>
        <v>2.5920000000000001</v>
      </c>
      <c r="G19" s="49">
        <f t="shared" si="0"/>
        <v>2314.0490864399999</v>
      </c>
      <c r="O19" s="102" t="s">
        <v>355</v>
      </c>
    </row>
    <row r="20" spans="1:15">
      <c r="A20" s="253"/>
      <c r="B20" s="255" t="s">
        <v>128</v>
      </c>
      <c r="C20" s="47"/>
      <c r="D20" s="19"/>
      <c r="E20" s="1" t="s">
        <v>152</v>
      </c>
      <c r="F20" s="207" t="s">
        <v>126</v>
      </c>
      <c r="G20" s="1" t="s">
        <v>127</v>
      </c>
      <c r="O20" s="102" t="s">
        <v>357</v>
      </c>
    </row>
    <row r="21" spans="1:15">
      <c r="A21" s="253"/>
      <c r="B21" s="255"/>
      <c r="C21" s="59" t="s">
        <v>210</v>
      </c>
      <c r="D21" s="20" t="s">
        <v>18</v>
      </c>
      <c r="E21" s="20">
        <f>'Ecological Footprint'!E22+'Ecological Footprint'!E92</f>
        <v>3021.6690350000003</v>
      </c>
      <c r="F21" s="206">
        <f>'Ecological Footprint'!F22</f>
        <v>1.38</v>
      </c>
      <c r="G21" s="49">
        <f>F21*E21</f>
        <v>4169.9032683000005</v>
      </c>
      <c r="J21" s="5"/>
    </row>
    <row r="22" spans="1:15">
      <c r="A22" s="253"/>
      <c r="B22" s="255"/>
      <c r="C22" s="59" t="s">
        <v>211</v>
      </c>
      <c r="D22" s="20" t="s">
        <v>117</v>
      </c>
      <c r="E22" s="20">
        <f>'Ecological Footprint'!E23+'Ecological Footprint'!E93</f>
        <v>2815.6461462499997</v>
      </c>
      <c r="F22" s="206">
        <f>'Ecological Footprint'!F23</f>
        <v>14.65</v>
      </c>
      <c r="G22" s="49">
        <f t="shared" ref="G22:G28" si="1">F22*E22</f>
        <v>41249.216042562497</v>
      </c>
      <c r="J22" s="5"/>
    </row>
    <row r="23" spans="1:15">
      <c r="A23" s="253"/>
      <c r="B23" s="255"/>
      <c r="C23" s="59" t="s">
        <v>212</v>
      </c>
      <c r="D23" s="20" t="s">
        <v>118</v>
      </c>
      <c r="E23" s="20">
        <f>'Ecological Footprint'!E24+'Ecological Footprint'!E94</f>
        <v>1373.4859250000002</v>
      </c>
      <c r="F23" s="206">
        <f>'Ecological Footprint'!F24</f>
        <v>1.38</v>
      </c>
      <c r="G23" s="49">
        <f t="shared" si="1"/>
        <v>1895.4105765000002</v>
      </c>
    </row>
    <row r="24" spans="1:15">
      <c r="A24" s="253"/>
      <c r="B24" s="255"/>
      <c r="C24" s="59" t="s">
        <v>213</v>
      </c>
      <c r="D24" s="20" t="s">
        <v>19</v>
      </c>
      <c r="E24" s="20">
        <f>'Ecological Footprint'!E25+'Ecological Footprint'!E95</f>
        <v>2197.5774799999999</v>
      </c>
      <c r="F24" s="206">
        <f>'Ecological Footprint'!F25</f>
        <v>0.69</v>
      </c>
      <c r="G24" s="49">
        <f t="shared" si="1"/>
        <v>1516.3284611999998</v>
      </c>
      <c r="J24">
        <f>E6/P6</f>
        <v>4.9803117355989004</v>
      </c>
    </row>
    <row r="25" spans="1:15">
      <c r="A25" s="253"/>
      <c r="B25" s="255"/>
      <c r="C25" s="59" t="s">
        <v>214</v>
      </c>
      <c r="D25" s="20" t="s">
        <v>20</v>
      </c>
      <c r="E25" s="20">
        <f>'Ecological Footprint'!E26+'Ecological Footprint'!E96</f>
        <v>1785.5317024999999</v>
      </c>
      <c r="F25" s="206">
        <f>'Ecological Footprint'!F26</f>
        <v>0.51300000000000001</v>
      </c>
      <c r="G25" s="49">
        <f t="shared" si="1"/>
        <v>915.97776338250003</v>
      </c>
    </row>
    <row r="26" spans="1:15">
      <c r="A26" s="253"/>
      <c r="B26" s="255"/>
      <c r="C26" s="59" t="s">
        <v>215</v>
      </c>
      <c r="D26" s="20" t="s">
        <v>14</v>
      </c>
      <c r="E26" s="20">
        <f>'Ecological Footprint'!E27+'Ecological Footprint'!E97</f>
        <v>22319.146281249999</v>
      </c>
      <c r="F26" s="206">
        <f>'Ecological Footprint'!F27</f>
        <v>0.1855</v>
      </c>
      <c r="G26" s="49">
        <f t="shared" si="1"/>
        <v>4140.2016351718748</v>
      </c>
    </row>
    <row r="27" spans="1:15">
      <c r="A27" s="253"/>
      <c r="B27" s="255"/>
      <c r="C27" s="59" t="s">
        <v>234</v>
      </c>
      <c r="D27" s="20" t="s">
        <v>15</v>
      </c>
      <c r="E27" s="20">
        <f>'Ecological Footprint'!E28+'Ecological Footprint'!E98</f>
        <v>1373.4859250000002</v>
      </c>
      <c r="F27" s="206">
        <f>'Ecological Footprint'!F28</f>
        <v>0.151</v>
      </c>
      <c r="G27" s="49">
        <f t="shared" si="1"/>
        <v>207.39637467500003</v>
      </c>
    </row>
    <row r="28" spans="1:15">
      <c r="A28" s="253"/>
      <c r="B28" s="255"/>
      <c r="C28" s="59" t="s">
        <v>217</v>
      </c>
      <c r="D28" s="20" t="s">
        <v>13</v>
      </c>
      <c r="E28" s="20">
        <f>'Ecological Footprint'!E29+'Ecological Footprint'!E99</f>
        <v>480.72007375000004</v>
      </c>
      <c r="F28" s="206">
        <f>'Ecological Footprint'!F29</f>
        <v>1.17E-2</v>
      </c>
      <c r="G28" s="49">
        <f t="shared" si="1"/>
        <v>5.6244248628750002</v>
      </c>
    </row>
    <row r="29" spans="1:15">
      <c r="A29" s="253"/>
      <c r="B29" s="249" t="s">
        <v>405</v>
      </c>
      <c r="C29" s="58"/>
      <c r="D29" s="19"/>
      <c r="E29" s="1" t="s">
        <v>152</v>
      </c>
      <c r="F29" s="207" t="s">
        <v>126</v>
      </c>
      <c r="G29" s="1" t="s">
        <v>127</v>
      </c>
    </row>
    <row r="30" spans="1:15" ht="25.5" customHeight="1">
      <c r="A30" s="253"/>
      <c r="B30" s="249"/>
      <c r="C30" s="59" t="s">
        <v>218</v>
      </c>
      <c r="D30" s="20" t="s">
        <v>21</v>
      </c>
      <c r="E30" s="20">
        <f>'Ecological Footprint'!E31+'Ecological Footprint'!E101</f>
        <v>3090.3433312499997</v>
      </c>
      <c r="F30" s="206">
        <f>'Ecological Footprint'!F31</f>
        <v>1.28</v>
      </c>
      <c r="G30" s="49">
        <f>F30*E30</f>
        <v>3955.6394639999999</v>
      </c>
    </row>
    <row r="31" spans="1:15" ht="25.5" customHeight="1">
      <c r="A31" s="253"/>
      <c r="B31" s="249"/>
      <c r="C31" s="59" t="s">
        <v>219</v>
      </c>
      <c r="D31" s="20" t="s">
        <v>22</v>
      </c>
      <c r="E31" s="20">
        <f>'Ecological Footprint'!E32+'Ecological Footprint'!E102</f>
        <v>5013.2236262500001</v>
      </c>
      <c r="F31" s="206">
        <f>'Ecological Footprint'!F32</f>
        <v>2.1399999999999999E-2</v>
      </c>
      <c r="G31" s="49">
        <f>F31*E31</f>
        <v>107.28298560175</v>
      </c>
    </row>
    <row r="32" spans="1:15">
      <c r="A32" s="253"/>
      <c r="B32" s="249" t="s">
        <v>129</v>
      </c>
      <c r="C32" s="58"/>
      <c r="D32" s="19"/>
      <c r="E32" s="1" t="s">
        <v>152</v>
      </c>
      <c r="F32" s="207" t="s">
        <v>126</v>
      </c>
      <c r="G32" s="1" t="s">
        <v>127</v>
      </c>
    </row>
    <row r="33" spans="1:7" ht="25.5" customHeight="1">
      <c r="A33" s="253"/>
      <c r="B33" s="249"/>
      <c r="C33" s="59" t="s">
        <v>220</v>
      </c>
      <c r="D33" s="50" t="s">
        <v>24</v>
      </c>
      <c r="E33" s="50">
        <f>'Ecological Footprint'!E34</f>
        <v>2312.8040000000001</v>
      </c>
      <c r="F33" s="208">
        <f>'Ecological Footprint'!F34</f>
        <v>0.41099999999999998</v>
      </c>
      <c r="G33" s="98">
        <f>F33*E33</f>
        <v>950.56244400000003</v>
      </c>
    </row>
    <row r="34" spans="1:7" ht="45">
      <c r="A34" s="253"/>
      <c r="B34" s="249" t="s">
        <v>365</v>
      </c>
      <c r="C34" s="58"/>
      <c r="D34" s="19"/>
      <c r="E34" s="61" t="s">
        <v>276</v>
      </c>
      <c r="F34" s="209" t="s">
        <v>133</v>
      </c>
      <c r="G34" s="1" t="s">
        <v>127</v>
      </c>
    </row>
    <row r="35" spans="1:7">
      <c r="A35" s="253"/>
      <c r="B35" s="249"/>
      <c r="C35" s="59" t="s">
        <v>221</v>
      </c>
      <c r="D35" s="20" t="s">
        <v>31</v>
      </c>
      <c r="E35" s="20">
        <f>'Ecological Footprint'!E36+'Ecological Footprint'!E42+'Ecological Footprint'!E48+'Ecological Footprint'!E54+'Ecological Footprint'!E104</f>
        <v>80823265.409440994</v>
      </c>
      <c r="F35" s="206">
        <f>'Ecological Footprint'!F36</f>
        <v>2.7094E-4</v>
      </c>
      <c r="G35" s="49">
        <f>F35*E35</f>
        <v>21898.255530033945</v>
      </c>
    </row>
    <row r="36" spans="1:7">
      <c r="A36" s="253"/>
      <c r="B36" s="249"/>
      <c r="C36" s="59" t="s">
        <v>222</v>
      </c>
      <c r="D36" s="20" t="s">
        <v>32</v>
      </c>
      <c r="E36" s="20">
        <f>'Ecological Footprint'!E37+'Ecological Footprint'!E43+'Ecological Footprint'!E49+'Ecological Footprint'!E105</f>
        <v>193653819.17761219</v>
      </c>
      <c r="F36" s="206">
        <f>'Ecological Footprint'!F37</f>
        <v>6.9182314220000011E-5</v>
      </c>
      <c r="G36" s="49">
        <f t="shared" ref="G36:G46" si="2">F36*E36</f>
        <v>13397.419368248631</v>
      </c>
    </row>
    <row r="37" spans="1:7">
      <c r="A37" s="253"/>
      <c r="B37" s="257"/>
      <c r="C37" s="59" t="s">
        <v>223</v>
      </c>
      <c r="D37" s="20" t="s">
        <v>120</v>
      </c>
      <c r="E37" s="20">
        <f>'Ecological Footprint'!E59+'Ecological Footprint'!E66</f>
        <v>31537500</v>
      </c>
      <c r="F37" s="206">
        <f>'Ecological Footprint'!F59</f>
        <v>2.63175E-5</v>
      </c>
      <c r="G37" s="49">
        <f t="shared" si="2"/>
        <v>829.98815624999997</v>
      </c>
    </row>
    <row r="38" spans="1:7">
      <c r="A38" s="253"/>
      <c r="B38" s="257"/>
      <c r="C38" s="59" t="s">
        <v>224</v>
      </c>
      <c r="D38" s="20" t="s">
        <v>121</v>
      </c>
      <c r="E38" s="20">
        <f>'Ecological Footprint'!E60+'Ecological Footprint'!E67</f>
        <v>36478263.799999997</v>
      </c>
      <c r="F38" s="206">
        <f>'Ecological Footprint'!F60</f>
        <v>2.6822700000000006E-4</v>
      </c>
      <c r="G38" s="49">
        <f t="shared" si="2"/>
        <v>9784.455264282602</v>
      </c>
    </row>
    <row r="39" spans="1:7">
      <c r="A39" s="253"/>
      <c r="B39" s="257"/>
      <c r="C39" s="59" t="s">
        <v>225</v>
      </c>
      <c r="D39" s="20" t="s">
        <v>122</v>
      </c>
      <c r="E39" s="20">
        <f>'Ecological Footprint'!E61+'Ecological Footprint'!E68</f>
        <v>19271343.344000004</v>
      </c>
      <c r="F39" s="206">
        <f>'Ecological Footprint'!F61</f>
        <v>5.6741000000000011E-5</v>
      </c>
      <c r="G39" s="49">
        <f t="shared" si="2"/>
        <v>1093.4752926819044</v>
      </c>
    </row>
    <row r="40" spans="1:7">
      <c r="A40" s="253"/>
      <c r="B40" s="257"/>
      <c r="C40" s="59" t="s">
        <v>226</v>
      </c>
      <c r="D40" s="20" t="s">
        <v>123</v>
      </c>
      <c r="E40" s="20">
        <f>'Ecological Footprint'!E69+'Ecological Footprint'!E62</f>
        <v>94089499.855999991</v>
      </c>
      <c r="F40" s="206">
        <f>'Ecological Footprint'!F62</f>
        <v>6.2524E-5</v>
      </c>
      <c r="G40" s="49">
        <f t="shared" si="2"/>
        <v>5882.8518889965435</v>
      </c>
    </row>
    <row r="41" spans="1:7">
      <c r="A41" s="253"/>
      <c r="B41" s="257"/>
      <c r="C41" s="59" t="s">
        <v>227</v>
      </c>
      <c r="D41" s="20" t="s">
        <v>237</v>
      </c>
      <c r="E41" s="20">
        <f>'Ecological Footprint'!E70</f>
        <v>924662.4</v>
      </c>
      <c r="F41" s="206">
        <f>'Ecological Footprint'!F70</f>
        <v>3.4852800000000002E-4</v>
      </c>
      <c r="G41" s="49">
        <f t="shared" si="2"/>
        <v>322.27073694720002</v>
      </c>
    </row>
    <row r="42" spans="1:7">
      <c r="A42" s="253"/>
      <c r="B42" s="257"/>
      <c r="C42" s="59" t="s">
        <v>228</v>
      </c>
      <c r="D42" s="20" t="s">
        <v>56</v>
      </c>
      <c r="E42" s="20">
        <f>'Ecological Footprint'!E71</f>
        <v>1533000</v>
      </c>
      <c r="F42" s="206">
        <f>'Ecological Footprint'!F71</f>
        <v>1.2289E-5</v>
      </c>
      <c r="G42" s="49">
        <f t="shared" si="2"/>
        <v>18.839037000000001</v>
      </c>
    </row>
    <row r="43" spans="1:7">
      <c r="A43" s="253"/>
      <c r="B43" s="257"/>
      <c r="C43" s="59" t="s">
        <v>229</v>
      </c>
      <c r="D43" s="20" t="s">
        <v>58</v>
      </c>
      <c r="E43" s="20">
        <f>'Ecological Footprint'!E72</f>
        <v>358730.41484120005</v>
      </c>
      <c r="F43" s="206">
        <f>'Ecological Footprint'!F72</f>
        <v>8.5866000000000001E-6</v>
      </c>
      <c r="G43" s="49">
        <f t="shared" si="2"/>
        <v>3.0802745800754483</v>
      </c>
    </row>
    <row r="44" spans="1:7">
      <c r="A44" s="253"/>
      <c r="B44" s="257"/>
      <c r="C44" s="59" t="s">
        <v>230</v>
      </c>
      <c r="D44" s="20" t="s">
        <v>57</v>
      </c>
      <c r="E44" s="20">
        <f>'Ecological Footprint'!E73</f>
        <v>2152672.6348496</v>
      </c>
      <c r="F44" s="206">
        <f>'Ecological Footprint'!F73</f>
        <v>9.2367000000000009E-6</v>
      </c>
      <c r="G44" s="49">
        <f t="shared" si="2"/>
        <v>19.883591326315301</v>
      </c>
    </row>
    <row r="45" spans="1:7">
      <c r="A45" s="253"/>
      <c r="B45" s="257"/>
      <c r="C45" s="59" t="s">
        <v>231</v>
      </c>
      <c r="D45" s="20" t="s">
        <v>59</v>
      </c>
      <c r="E45" s="20">
        <f>'Ecological Footprint'!E74</f>
        <v>4851199.176</v>
      </c>
      <c r="F45" s="206">
        <f>'Ecological Footprint'!F74</f>
        <v>4.4277100000000003E-5</v>
      </c>
      <c r="G45" s="49">
        <f t="shared" si="2"/>
        <v>214.79703103566962</v>
      </c>
    </row>
    <row r="46" spans="1:7">
      <c r="A46" s="253"/>
      <c r="B46" s="257"/>
      <c r="C46" s="59" t="s">
        <v>232</v>
      </c>
      <c r="D46" s="20" t="s">
        <v>60</v>
      </c>
      <c r="E46" s="20">
        <f>'Ecological Footprint'!E75</f>
        <v>7259.84</v>
      </c>
      <c r="F46" s="206">
        <f>'Ecological Footprint'!F75</f>
        <v>4.4277100000000001E-4</v>
      </c>
      <c r="G46" s="49">
        <f t="shared" si="2"/>
        <v>3.2144466166400001</v>
      </c>
    </row>
    <row r="47" spans="1:7">
      <c r="A47" s="253"/>
      <c r="B47" s="249" t="s">
        <v>132</v>
      </c>
      <c r="C47" s="59"/>
      <c r="D47" s="19"/>
      <c r="E47" s="1" t="s">
        <v>277</v>
      </c>
      <c r="F47" s="1" t="s">
        <v>131</v>
      </c>
      <c r="G47" s="1"/>
    </row>
    <row r="48" spans="1:7" ht="40.5" customHeight="1" thickBot="1">
      <c r="A48" s="254"/>
      <c r="B48" s="250"/>
      <c r="C48" s="89" t="s">
        <v>233</v>
      </c>
      <c r="D48" s="51" t="s">
        <v>124</v>
      </c>
      <c r="E48" s="51">
        <f>Biocapacity!D48</f>
        <v>1799.99</v>
      </c>
      <c r="F48" s="51">
        <v>2.2000000000000002</v>
      </c>
      <c r="G48" s="39">
        <f>F48*E48</f>
        <v>3959.9780000000005</v>
      </c>
    </row>
    <row r="51" spans="4:4">
      <c r="D51" s="102" t="s">
        <v>358</v>
      </c>
    </row>
    <row r="52" spans="4:4">
      <c r="D52" s="102" t="s">
        <v>359</v>
      </c>
    </row>
  </sheetData>
  <mergeCells count="13">
    <mergeCell ref="C2:E2"/>
    <mergeCell ref="C3:E3"/>
    <mergeCell ref="C4:E4"/>
    <mergeCell ref="M6:M13"/>
    <mergeCell ref="N6:O6"/>
    <mergeCell ref="I6:I12"/>
    <mergeCell ref="B47:B48"/>
    <mergeCell ref="A6:A48"/>
    <mergeCell ref="B8:B19"/>
    <mergeCell ref="B32:B33"/>
    <mergeCell ref="B29:B31"/>
    <mergeCell ref="B20:B28"/>
    <mergeCell ref="B34:B46"/>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dimension ref="B1:I105"/>
  <sheetViews>
    <sheetView workbookViewId="0">
      <selection activeCell="B1" sqref="B1:D5"/>
    </sheetView>
  </sheetViews>
  <sheetFormatPr defaultColWidth="8.85546875" defaultRowHeight="15"/>
  <cols>
    <col min="2" max="2" width="10.7109375" customWidth="1"/>
    <col min="3" max="3" width="18.140625" customWidth="1"/>
    <col min="4" max="4" width="47" customWidth="1"/>
    <col min="5" max="5" width="16" customWidth="1"/>
    <col min="6" max="6" width="22.42578125" customWidth="1"/>
    <col min="7" max="7" width="22.28515625" customWidth="1"/>
    <col min="9" max="9" width="18.140625" customWidth="1"/>
    <col min="11" max="11" width="23.28515625" customWidth="1"/>
    <col min="13" max="13" width="23.42578125" customWidth="1"/>
    <col min="15" max="15" width="12.85546875" customWidth="1"/>
  </cols>
  <sheetData>
    <row r="1" spans="2:9">
      <c r="B1" s="266" t="s">
        <v>360</v>
      </c>
      <c r="C1" s="267"/>
      <c r="D1" s="267"/>
    </row>
    <row r="2" spans="2:9" ht="15" customHeight="1">
      <c r="B2" s="258" t="s">
        <v>362</v>
      </c>
      <c r="C2" s="259"/>
      <c r="D2" s="259"/>
      <c r="F2" s="103" t="s">
        <v>661</v>
      </c>
    </row>
    <row r="3" spans="2:9" ht="15" customHeight="1">
      <c r="B3" s="258" t="s">
        <v>364</v>
      </c>
      <c r="C3" s="259"/>
      <c r="D3" s="259"/>
      <c r="F3" s="103" t="s">
        <v>361</v>
      </c>
    </row>
    <row r="4" spans="2:9" ht="15" customHeight="1">
      <c r="B4" s="258" t="s">
        <v>354</v>
      </c>
      <c r="C4" s="259"/>
      <c r="D4" s="259"/>
    </row>
    <row r="5" spans="2:9" ht="15" customHeight="1">
      <c r="B5" s="258" t="s">
        <v>363</v>
      </c>
      <c r="C5" s="259"/>
      <c r="D5" s="259"/>
      <c r="F5" s="104" t="s">
        <v>660</v>
      </c>
    </row>
    <row r="7" spans="2:9" ht="15.75" thickBot="1"/>
    <row r="8" spans="2:9" ht="15.75" thickBot="1">
      <c r="B8" s="277" t="s">
        <v>4</v>
      </c>
      <c r="C8" s="278"/>
      <c r="D8" s="278"/>
      <c r="E8" s="278"/>
      <c r="F8" s="279"/>
      <c r="G8" s="68">
        <f>SUM(G10:G20,G22:G29,G31:G32,G34:G34,G36:G37)</f>
        <v>143628.33178801578</v>
      </c>
    </row>
    <row r="9" spans="2:9" ht="15.75" thickBot="1">
      <c r="B9" s="77"/>
      <c r="C9" s="78" t="s">
        <v>151</v>
      </c>
      <c r="D9" s="78" t="s">
        <v>88</v>
      </c>
      <c r="E9" s="105" t="s">
        <v>96</v>
      </c>
      <c r="F9" s="79" t="s">
        <v>126</v>
      </c>
      <c r="G9" s="73" t="s">
        <v>127</v>
      </c>
    </row>
    <row r="10" spans="2:9">
      <c r="B10" s="271" t="s">
        <v>172</v>
      </c>
      <c r="C10" s="74" t="s">
        <v>37</v>
      </c>
      <c r="D10" s="74" t="s">
        <v>11</v>
      </c>
      <c r="E10" s="74">
        <f>(Assumptions!$E$9*Inputs!$D$8+Assumptions!$E$10*Inputs!$D$9)*Assumptions!E14*Assumptions!$E$11/1000000</f>
        <v>2182.41968</v>
      </c>
      <c r="F10" s="210">
        <f>(936+2140)/10000</f>
        <v>0.30759999999999998</v>
      </c>
      <c r="G10" s="75">
        <f>F10*E10</f>
        <v>671.31229356799997</v>
      </c>
    </row>
    <row r="11" spans="2:9">
      <c r="B11" s="272"/>
      <c r="C11" s="8" t="s">
        <v>39</v>
      </c>
      <c r="D11" s="8" t="s">
        <v>26</v>
      </c>
      <c r="E11" s="8">
        <f>(Assumptions!$E$9*Inputs!$D$8+Assumptions!$E$10*Inputs!$D$9)*Assumptions!E15*Assumptions!$E$11/1000000</f>
        <v>4160.2375149999998</v>
      </c>
      <c r="F11" s="211">
        <f>(277+683)/10000</f>
        <v>9.6000000000000002E-2</v>
      </c>
      <c r="G11" s="76">
        <f t="shared" ref="G11:G20" si="0">F11*E11</f>
        <v>399.38280143999998</v>
      </c>
    </row>
    <row r="12" spans="2:9">
      <c r="B12" s="272"/>
      <c r="C12" s="8" t="s">
        <v>41</v>
      </c>
      <c r="D12" s="8" t="s">
        <v>12</v>
      </c>
      <c r="E12" s="8">
        <f>(Assumptions!$E$9*Inputs!$D$8+Assumptions!$E$10*Inputs!$D$9)*Assumptions!E16*Assumptions!$E$11/1000000</f>
        <v>272.80246</v>
      </c>
      <c r="F12" s="211">
        <f>(2360+995)/10000</f>
        <v>0.33550000000000002</v>
      </c>
      <c r="G12" s="76">
        <f t="shared" si="0"/>
        <v>91.525225329999998</v>
      </c>
    </row>
    <row r="13" spans="2:9">
      <c r="B13" s="272"/>
      <c r="C13" s="8" t="s">
        <v>42</v>
      </c>
      <c r="D13" s="8" t="s">
        <v>16</v>
      </c>
      <c r="E13" s="8">
        <f>(Assumptions!$E$9*Inputs!$D$8+Assumptions!$E$10*Inputs!$D$9)*Assumptions!E17*Assumptions!$E$11/1000000</f>
        <v>1091.20984</v>
      </c>
      <c r="F13" s="211">
        <f>(1240+5430)/10000</f>
        <v>0.66700000000000004</v>
      </c>
      <c r="G13" s="76">
        <f t="shared" si="0"/>
        <v>727.83696328000008</v>
      </c>
      <c r="I13" s="104"/>
    </row>
    <row r="14" spans="2:9">
      <c r="B14" s="272"/>
      <c r="C14" s="8" t="s">
        <v>43</v>
      </c>
      <c r="D14" s="8" t="s">
        <v>17</v>
      </c>
      <c r="E14" s="8">
        <f>(Assumptions!$E$9*Inputs!$D$8+Assumptions!$E$10*Inputs!$D$9)*Assumptions!E18*Assumptions!$E$11/1000000</f>
        <v>613.80553499999996</v>
      </c>
      <c r="F14" s="211">
        <f>(1170+3060)/10000</f>
        <v>0.42299999999999999</v>
      </c>
      <c r="G14" s="76">
        <f t="shared" si="0"/>
        <v>259.63974130499997</v>
      </c>
    </row>
    <row r="15" spans="2:9">
      <c r="B15" s="272"/>
      <c r="C15" s="8" t="s">
        <v>44</v>
      </c>
      <c r="D15" s="8" t="s">
        <v>23</v>
      </c>
      <c r="E15" s="8">
        <f>(Assumptions!$E$9*Inputs!$D$8+Assumptions!$E$10*Inputs!$D$9)*Assumptions!E19*Assumptions!$E$11/1000000</f>
        <v>3682.8332099999998</v>
      </c>
      <c r="F15" s="211">
        <f>(606+117+6090)/10000</f>
        <v>0.68130000000000002</v>
      </c>
      <c r="G15" s="76">
        <f t="shared" si="0"/>
        <v>2509.1142659729999</v>
      </c>
    </row>
    <row r="16" spans="2:9">
      <c r="B16" s="272"/>
      <c r="C16" s="8" t="s">
        <v>134</v>
      </c>
      <c r="D16" s="8" t="s">
        <v>423</v>
      </c>
      <c r="E16" s="8">
        <f>(Assumptions!$E$9*Inputs!$D$8+Assumptions!$E$10*Inputs!$D$9)*Assumptions!E20*Assumptions!$E$11/1000000</f>
        <v>36760.131485000005</v>
      </c>
      <c r="F16" s="216">
        <f>7430/10000</f>
        <v>0.74299999999999999</v>
      </c>
      <c r="G16" s="76">
        <f t="shared" si="0"/>
        <v>27312.777693355005</v>
      </c>
    </row>
    <row r="17" spans="2:7">
      <c r="B17" s="272"/>
      <c r="C17" s="8" t="s">
        <v>135</v>
      </c>
      <c r="D17" s="8" t="s">
        <v>27</v>
      </c>
      <c r="E17" s="8">
        <f>(Assumptions!$E$9*Inputs!$D$8+Assumptions!$E$10*Inputs!$D$9)*Assumptions!E21*Assumptions!$E$11/1000000</f>
        <v>12207.910084999998</v>
      </c>
      <c r="F17" s="211">
        <f>21100/10000</f>
        <v>2.11</v>
      </c>
      <c r="G17" s="76">
        <f t="shared" si="0"/>
        <v>25758.690279349994</v>
      </c>
    </row>
    <row r="18" spans="2:7">
      <c r="B18" s="272"/>
      <c r="C18" s="80" t="s">
        <v>136</v>
      </c>
      <c r="D18" s="80" t="s">
        <v>25</v>
      </c>
      <c r="E18" s="8">
        <f>(Inputs!D8*Assumptions!E23*Assumptions!E22*Assumptions!E11)/1000000</f>
        <v>67.887079999999997</v>
      </c>
      <c r="F18" s="211">
        <f>11400/10000</f>
        <v>1.1399999999999999</v>
      </c>
      <c r="G18" s="76">
        <f t="shared" si="0"/>
        <v>77.391271199999991</v>
      </c>
    </row>
    <row r="19" spans="2:7">
      <c r="B19" s="272"/>
      <c r="C19" s="80" t="s">
        <v>137</v>
      </c>
      <c r="D19" s="80" t="s">
        <v>119</v>
      </c>
      <c r="E19" s="8">
        <f>(Assumptions!$E$9*Inputs!$D$8+Assumptions!$E$10*Inputs!$D$9)*Assumptions!E24*Assumptions!$E$11/1000000</f>
        <v>6820.0614999999998</v>
      </c>
      <c r="F19" s="211">
        <f>(1640+536+3560)/10000</f>
        <v>0.5736</v>
      </c>
      <c r="G19" s="76">
        <f t="shared" si="0"/>
        <v>3911.9872763999997</v>
      </c>
    </row>
    <row r="20" spans="2:7" ht="15.75" thickBot="1">
      <c r="B20" s="273"/>
      <c r="C20" s="129" t="s">
        <v>138</v>
      </c>
      <c r="D20" s="130" t="s">
        <v>28</v>
      </c>
      <c r="E20" s="130">
        <f>(Assumptions!$E$9*Inputs!$D$8+Assumptions!$E$10*Inputs!$D$9)*Assumptions!E25*Assumptions!$E$11/1000000</f>
        <v>886.60799499999996</v>
      </c>
      <c r="F20" s="217">
        <f>(3020+22900)/10000</f>
        <v>2.5920000000000001</v>
      </c>
      <c r="G20" s="131">
        <f t="shared" si="0"/>
        <v>2298.0879230400001</v>
      </c>
    </row>
    <row r="21" spans="2:7" ht="15.75" thickBot="1">
      <c r="B21" s="200"/>
      <c r="C21" s="199" t="s">
        <v>151</v>
      </c>
      <c r="D21" s="199" t="s">
        <v>88</v>
      </c>
      <c r="E21" s="199" t="s">
        <v>96</v>
      </c>
      <c r="F21" s="218" t="s">
        <v>126</v>
      </c>
      <c r="G21" s="201" t="s">
        <v>127</v>
      </c>
    </row>
    <row r="22" spans="2:7">
      <c r="B22" s="274" t="s">
        <v>173</v>
      </c>
      <c r="C22" s="126" t="s">
        <v>139</v>
      </c>
      <c r="D22" s="126" t="s">
        <v>18</v>
      </c>
      <c r="E22" s="126">
        <f>(Assumptions!$E$9*Inputs!$D$8+Assumptions!$E$10*Inputs!$D$9)*Assumptions!E27*Assumptions!$E$11/1000000</f>
        <v>3000.8270600000005</v>
      </c>
      <c r="F22" s="215">
        <f>(3200+10600)/10000</f>
        <v>1.38</v>
      </c>
      <c r="G22" s="128">
        <f>F22*E22</f>
        <v>4141.1413428000005</v>
      </c>
    </row>
    <row r="23" spans="2:7">
      <c r="B23" s="272"/>
      <c r="C23" s="8" t="s">
        <v>140</v>
      </c>
      <c r="D23" s="8" t="s">
        <v>117</v>
      </c>
      <c r="E23" s="8">
        <f>(Assumptions!$E$9*Inputs!$D$8+Assumptions!$E$10*Inputs!$D$9)*Assumptions!E28*Assumptions!$E$11/1000000</f>
        <v>2796.2252149999995</v>
      </c>
      <c r="F23" s="211">
        <f>(15500+131000)/10000</f>
        <v>14.65</v>
      </c>
      <c r="G23" s="76">
        <f t="shared" ref="G23:G29" si="1">F23*E23</f>
        <v>40964.699399749996</v>
      </c>
    </row>
    <row r="24" spans="2:7">
      <c r="B24" s="272"/>
      <c r="C24" s="8" t="s">
        <v>141</v>
      </c>
      <c r="D24" s="8" t="s">
        <v>118</v>
      </c>
      <c r="E24" s="8">
        <f>(Assumptions!$E$9*Inputs!$D$8+Assumptions!$E$10*Inputs!$D$9)*Assumptions!E29*Assumptions!$E$11/1000000</f>
        <v>1364.0123000000001</v>
      </c>
      <c r="F24" s="211">
        <f>(3200+10600)/10000</f>
        <v>1.38</v>
      </c>
      <c r="G24" s="76">
        <f t="shared" si="1"/>
        <v>1882.3369740000001</v>
      </c>
    </row>
    <row r="25" spans="2:7">
      <c r="B25" s="272"/>
      <c r="C25" s="8" t="s">
        <v>45</v>
      </c>
      <c r="D25" s="8" t="s">
        <v>19</v>
      </c>
      <c r="E25" s="8">
        <f>(Assumptions!$E$9*Inputs!$D$8+Assumptions!$E$10*Inputs!$D$9)*Assumptions!E30*Assumptions!$E$11/1000000</f>
        <v>2182.41968</v>
      </c>
      <c r="F25" s="211">
        <f>(4150+2750)/10000</f>
        <v>0.69</v>
      </c>
      <c r="G25" s="76">
        <f t="shared" si="1"/>
        <v>1505.8695791999999</v>
      </c>
    </row>
    <row r="26" spans="2:7">
      <c r="B26" s="272"/>
      <c r="C26" s="8" t="s">
        <v>46</v>
      </c>
      <c r="D26" s="8" t="s">
        <v>20</v>
      </c>
      <c r="E26" s="8">
        <f>(Assumptions!$E$9*Inputs!$D$8+Assumptions!$E$10*Inputs!$D$9)*Assumptions!E31*Assumptions!$E$11/1000000</f>
        <v>1773.2159899999999</v>
      </c>
      <c r="F26" s="211">
        <f>(1670+3460)/10000</f>
        <v>0.51300000000000001</v>
      </c>
      <c r="G26" s="76">
        <f t="shared" si="1"/>
        <v>909.65980287000002</v>
      </c>
    </row>
    <row r="27" spans="2:7">
      <c r="B27" s="272"/>
      <c r="C27" s="8" t="s">
        <v>143</v>
      </c>
      <c r="D27" s="8" t="s">
        <v>14</v>
      </c>
      <c r="E27" s="8">
        <f>(Assumptions!$E$9*Inputs!$D$8+Assumptions!$E$10*Inputs!$D$9)*Assumptions!E32*Assumptions!$E$11/1000000</f>
        <v>22165.199874999998</v>
      </c>
      <c r="F27" s="211">
        <f>(715+1140)/10000</f>
        <v>0.1855</v>
      </c>
      <c r="G27" s="76">
        <f t="shared" si="1"/>
        <v>4111.6445768124995</v>
      </c>
    </row>
    <row r="28" spans="2:7">
      <c r="B28" s="272"/>
      <c r="C28" s="8" t="s">
        <v>144</v>
      </c>
      <c r="D28" s="8" t="s">
        <v>15</v>
      </c>
      <c r="E28" s="8">
        <f>(Assumptions!$E$9*Inputs!$D$8+Assumptions!$E$10*Inputs!$D$9)*Assumptions!E33*Assumptions!$E$11/1000000</f>
        <v>1364.0123000000001</v>
      </c>
      <c r="F28" s="211">
        <f>1510/10000</f>
        <v>0.151</v>
      </c>
      <c r="G28" s="76">
        <f t="shared" si="1"/>
        <v>205.96585730000001</v>
      </c>
    </row>
    <row r="29" spans="2:7" ht="15.75" thickBot="1">
      <c r="B29" s="273"/>
      <c r="C29" s="130" t="s">
        <v>145</v>
      </c>
      <c r="D29" s="130" t="s">
        <v>13</v>
      </c>
      <c r="E29" s="130">
        <f>(Assumptions!$E$9*Inputs!$D$8+Assumptions!$E$10*Inputs!$D$9)*Assumptions!E34*Assumptions!$E$11/1000000</f>
        <v>477.40430500000002</v>
      </c>
      <c r="F29" s="217">
        <f>117/10000</f>
        <v>1.17E-2</v>
      </c>
      <c r="G29" s="131">
        <f t="shared" si="1"/>
        <v>5.5856303685000004</v>
      </c>
    </row>
    <row r="30" spans="2:7" ht="15.75" thickBot="1">
      <c r="B30" s="200"/>
      <c r="C30" s="199" t="s">
        <v>151</v>
      </c>
      <c r="D30" s="199" t="s">
        <v>88</v>
      </c>
      <c r="E30" s="199" t="s">
        <v>96</v>
      </c>
      <c r="F30" s="218" t="s">
        <v>126</v>
      </c>
      <c r="G30" s="201" t="s">
        <v>127</v>
      </c>
    </row>
    <row r="31" spans="2:7" ht="30" customHeight="1">
      <c r="B31" s="275" t="s">
        <v>406</v>
      </c>
      <c r="C31" s="74" t="s">
        <v>146</v>
      </c>
      <c r="D31" s="74" t="s">
        <v>21</v>
      </c>
      <c r="E31" s="126">
        <f>(Assumptions!$E$9*Inputs!$D$8+Assumptions!$E$10*Inputs!$D$9)*Assumptions!E36*Assumptions!$E$11/1000000</f>
        <v>3069.0276749999998</v>
      </c>
      <c r="F31" s="210">
        <f>(10700+2100)/10000</f>
        <v>1.28</v>
      </c>
      <c r="G31" s="75">
        <f>F31*E31</f>
        <v>3928.3554239999999</v>
      </c>
    </row>
    <row r="32" spans="2:7" ht="30" customHeight="1" thickBot="1">
      <c r="B32" s="276"/>
      <c r="C32" s="71" t="s">
        <v>147</v>
      </c>
      <c r="D32" s="71" t="s">
        <v>22</v>
      </c>
      <c r="E32" s="71">
        <f>(Assumptions!$E$9*Inputs!$D$8+Assumptions!$E$10*Inputs!$D$9)*Assumptions!E37*Assumptions!$E$11/1000000</f>
        <v>4978.6448950000004</v>
      </c>
      <c r="F32" s="212">
        <f>214/10000</f>
        <v>2.1399999999999999E-2</v>
      </c>
      <c r="G32" s="72">
        <f>F32*E32</f>
        <v>106.543000753</v>
      </c>
    </row>
    <row r="33" spans="2:8" ht="15" customHeight="1" thickBot="1">
      <c r="B33" s="65"/>
      <c r="C33" s="66" t="s">
        <v>151</v>
      </c>
      <c r="D33" s="66" t="s">
        <v>88</v>
      </c>
      <c r="E33" s="66" t="s">
        <v>96</v>
      </c>
      <c r="F33" s="213" t="s">
        <v>126</v>
      </c>
      <c r="G33" s="73" t="s">
        <v>127</v>
      </c>
    </row>
    <row r="34" spans="2:8" ht="46.5" customHeight="1">
      <c r="B34" s="115" t="s">
        <v>174</v>
      </c>
      <c r="C34" s="99" t="s">
        <v>148</v>
      </c>
      <c r="D34" s="99" t="s">
        <v>24</v>
      </c>
      <c r="E34" s="99">
        <f>(Assumptions!E39/1000)*(Inputs!D8+Inputs!D9)</f>
        <v>2312.8040000000001</v>
      </c>
      <c r="F34" s="210">
        <f>4110/10000</f>
        <v>0.41099999999999998</v>
      </c>
      <c r="G34" s="75">
        <f>F34*E34</f>
        <v>950.56244400000003</v>
      </c>
    </row>
    <row r="35" spans="2:8" ht="15" customHeight="1" thickBot="1">
      <c r="B35" s="62"/>
      <c r="C35" s="63" t="s">
        <v>151</v>
      </c>
      <c r="D35" s="63" t="s">
        <v>88</v>
      </c>
      <c r="E35" s="63" t="s">
        <v>96</v>
      </c>
      <c r="F35" s="64" t="s">
        <v>196</v>
      </c>
      <c r="G35" s="73" t="s">
        <v>127</v>
      </c>
    </row>
    <row r="36" spans="2:8" ht="25.5" customHeight="1">
      <c r="B36" s="275" t="s">
        <v>171</v>
      </c>
      <c r="C36" s="74" t="s">
        <v>149</v>
      </c>
      <c r="D36" s="74" t="s">
        <v>31</v>
      </c>
      <c r="E36" s="74">
        <f>(Inputs!D10*Assumptions!E41)+(Inputs!D11*Assumptions!E42)+(Inputs!D12*Assumptions!E43)+(Inputs!D13*Assumptions!E44)+(Inputs!D14*Assumptions!E45)+(Inputs!D15*Assumptions!E46)</f>
        <v>41187497.417090997</v>
      </c>
      <c r="F36" s="210">
        <f>(2.61+0.0905+0.0089)/10000</f>
        <v>2.7094E-4</v>
      </c>
      <c r="G36" s="75">
        <f>F36*E36</f>
        <v>11159.340550186635</v>
      </c>
      <c r="H36">
        <f>(1.6+1.03+0.01)/10000</f>
        <v>2.6399999999999997E-4</v>
      </c>
    </row>
    <row r="37" spans="2:8" ht="25.5" customHeight="1" thickBot="1">
      <c r="B37" s="276"/>
      <c r="C37" s="71" t="s">
        <v>150</v>
      </c>
      <c r="D37" s="71" t="s">
        <v>32</v>
      </c>
      <c r="E37" s="71">
        <f>((Inputs!D10*Assumptions!E47)+(Inputs!D11*Assumptions!E48)+(Inputs!D12*Assumptions!E49)+(Inputs!D13*Assumptions!E50)+(Inputs!D14*Assumptions!E51)+(Inputs!D15*Assumptions!E52))*Assumptions!E12</f>
        <v>140771258.9776122</v>
      </c>
      <c r="F37" s="212">
        <f>(Assumptions!E53*0.93+Assumptions!E54*(0.0233+0.00424+0.254)+Assumptions!E55*(0.626+0.0086+0.000648)+Assumptions!E56*'Ecological Footprint'!F36)/10000</f>
        <v>6.9182314220000011E-5</v>
      </c>
      <c r="G37" s="72">
        <f>F37*E37</f>
        <v>9738.8814717341647</v>
      </c>
    </row>
    <row r="38" spans="2:8">
      <c r="B38" s="3"/>
    </row>
    <row r="39" spans="2:8" ht="15.75" thickBot="1">
      <c r="B39" s="3"/>
    </row>
    <row r="40" spans="2:8" ht="15.75" thickBot="1">
      <c r="B40" s="277" t="s">
        <v>5</v>
      </c>
      <c r="C40" s="278"/>
      <c r="D40" s="278"/>
      <c r="E40" s="278"/>
      <c r="F40" s="279"/>
      <c r="G40" s="225">
        <f>SUM(G42:G43)</f>
        <v>11225.5348804</v>
      </c>
    </row>
    <row r="41" spans="2:8" ht="15" customHeight="1" thickBot="1">
      <c r="B41" s="204"/>
      <c r="C41" s="66" t="s">
        <v>151</v>
      </c>
      <c r="D41" s="66" t="s">
        <v>88</v>
      </c>
      <c r="E41" s="205" t="s">
        <v>96</v>
      </c>
      <c r="F41" s="67" t="s">
        <v>196</v>
      </c>
      <c r="G41" s="73" t="s">
        <v>127</v>
      </c>
    </row>
    <row r="42" spans="2:8" ht="25.5" customHeight="1">
      <c r="B42" s="283" t="s">
        <v>171</v>
      </c>
      <c r="C42" s="74" t="s">
        <v>153</v>
      </c>
      <c r="D42" s="74" t="s">
        <v>31</v>
      </c>
      <c r="E42" s="126">
        <f>(Inputs!D20*Assumptions!E61*Assumptions!E69)+(Inputs!D21*Assumptions!E62*Assumptions!E70)+(Inputs!D22*Assumptions!E63*Assumptions!E71)+(Inputs!D23*Assumptions!E64*Assumptions!E72)+(Inputs!D24*Assumptions!E65*Assumptions!E73)+(Inputs!D25*Assumptions!E66*Assumptions!E74)</f>
        <v>27889270</v>
      </c>
      <c r="F42" s="210">
        <f>F36</f>
        <v>2.7094E-4</v>
      </c>
      <c r="G42" s="75">
        <f>F42*E42</f>
        <v>7556.3188138000005</v>
      </c>
    </row>
    <row r="43" spans="2:8" ht="25.5" customHeight="1" thickBot="1">
      <c r="B43" s="284"/>
      <c r="C43" s="71" t="s">
        <v>154</v>
      </c>
      <c r="D43" s="71" t="s">
        <v>32</v>
      </c>
      <c r="E43" s="71">
        <f>((Inputs!D20*Assumptions!E61*Assumptions!E75)+(Inputs!D21*Assumptions!E62*Assumptions!E76)+(Inputs!D22*Assumptions!E63*Assumptions!E77)+(Inputs!D23*Assumptions!E64*Assumptions!E78)+(Inputs!D24*Assumptions!E65*Assumptions!E79)+(Inputs!D25*Assumptions!E66*Assumptions!E80))*Assumptions!E67</f>
        <v>39453936.199999996</v>
      </c>
      <c r="F43" s="212">
        <f>0.93/10000</f>
        <v>9.3000000000000011E-5</v>
      </c>
      <c r="G43" s="72">
        <f>F43*E43</f>
        <v>3669.2160666</v>
      </c>
    </row>
    <row r="44" spans="2:8">
      <c r="B44" s="3"/>
    </row>
    <row r="45" spans="2:8" ht="15.75" thickBot="1">
      <c r="B45" s="3"/>
    </row>
    <row r="46" spans="2:8" ht="15.75" thickBot="1">
      <c r="B46" s="280" t="s">
        <v>6</v>
      </c>
      <c r="C46" s="280"/>
      <c r="D46" s="280"/>
      <c r="E46" s="281"/>
      <c r="F46" s="282"/>
      <c r="G46" s="68">
        <f>SUM(G48:G49)</f>
        <v>1327.5558271200002</v>
      </c>
    </row>
    <row r="47" spans="2:8" ht="15.75" thickBot="1">
      <c r="B47" s="203"/>
      <c r="C47" s="133" t="s">
        <v>151</v>
      </c>
      <c r="D47" s="133" t="s">
        <v>88</v>
      </c>
      <c r="E47" s="133" t="s">
        <v>96</v>
      </c>
      <c r="F47" s="133" t="s">
        <v>196</v>
      </c>
      <c r="G47" s="202" t="s">
        <v>127</v>
      </c>
    </row>
    <row r="48" spans="2:8" ht="25.5" customHeight="1">
      <c r="B48" s="285" t="s">
        <v>171</v>
      </c>
      <c r="C48" s="126" t="s">
        <v>155</v>
      </c>
      <c r="D48" s="126" t="s">
        <v>31</v>
      </c>
      <c r="E48" s="220">
        <f>(Inputs!D30*Assumptions!E85*Assumptions!E89)+(Inputs!D31*Assumptions!E86*Assumptions!E90)+(Inputs!D32*Assumptions!E87*Assumptions!E91)</f>
        <v>2902548</v>
      </c>
      <c r="F48" s="215">
        <f>F36</f>
        <v>2.7094E-4</v>
      </c>
      <c r="G48" s="128">
        <f>F48*E48</f>
        <v>786.41635512000005</v>
      </c>
    </row>
    <row r="49" spans="2:7" ht="25.5" customHeight="1" thickBot="1">
      <c r="B49" s="276"/>
      <c r="C49" s="71" t="s">
        <v>156</v>
      </c>
      <c r="D49" s="71" t="s">
        <v>32</v>
      </c>
      <c r="E49" s="71">
        <f>(Inputs!D30*Assumptions!E85*Assumptions!E92)+(Inputs!D31*Assumptions!E86*Assumptions!E93)+(Inputs!D32*Assumptions!E87*Assumptions!E94)</f>
        <v>5818704</v>
      </c>
      <c r="F49" s="212">
        <f>0.93/10000</f>
        <v>9.3000000000000011E-5</v>
      </c>
      <c r="G49" s="72">
        <f>F49*E49</f>
        <v>541.13947200000007</v>
      </c>
    </row>
    <row r="50" spans="2:7">
      <c r="B50" s="3"/>
    </row>
    <row r="51" spans="2:7" ht="15.75" thickBot="1">
      <c r="B51" s="3"/>
    </row>
    <row r="52" spans="2:7" ht="15.75" thickBot="1">
      <c r="B52" s="287" t="s">
        <v>7</v>
      </c>
      <c r="C52" s="288"/>
      <c r="D52" s="289"/>
      <c r="E52" s="289"/>
      <c r="F52" s="289"/>
      <c r="G52" s="86">
        <f>G54</f>
        <v>776.67389252730902</v>
      </c>
    </row>
    <row r="53" spans="2:7" ht="15.75" thickBot="1">
      <c r="B53" s="62"/>
      <c r="C53" s="63" t="s">
        <v>151</v>
      </c>
      <c r="D53" s="63" t="s">
        <v>88</v>
      </c>
      <c r="E53" s="63" t="s">
        <v>96</v>
      </c>
      <c r="F53" s="64" t="s">
        <v>196</v>
      </c>
      <c r="G53" s="73" t="s">
        <v>127</v>
      </c>
    </row>
    <row r="54" spans="2:7" ht="43.5" thickBot="1">
      <c r="B54" s="85" t="s">
        <v>171</v>
      </c>
      <c r="C54" s="82" t="s">
        <v>157</v>
      </c>
      <c r="D54" s="82" t="s">
        <v>31</v>
      </c>
      <c r="E54" s="82">
        <f>Inputs!D37*Assumptions!E99</f>
        <v>2866589.99235</v>
      </c>
      <c r="F54" s="214">
        <f>F36</f>
        <v>2.7094E-4</v>
      </c>
      <c r="G54" s="83">
        <f>F54*E54</f>
        <v>776.67389252730902</v>
      </c>
    </row>
    <row r="55" spans="2:7">
      <c r="B55" s="3"/>
    </row>
    <row r="56" spans="2:7" ht="15.75" thickBot="1">
      <c r="B56" s="3"/>
    </row>
    <row r="57" spans="2:7" ht="15.75" thickBot="1">
      <c r="B57" s="277" t="s">
        <v>8</v>
      </c>
      <c r="C57" s="290"/>
      <c r="D57" s="278"/>
      <c r="E57" s="278"/>
      <c r="F57" s="279"/>
      <c r="G57" s="69">
        <f>SUM(G59:G62)</f>
        <v>17304.69404036105</v>
      </c>
    </row>
    <row r="58" spans="2:7" ht="15.75" thickBot="1">
      <c r="B58" s="62"/>
      <c r="C58" s="63" t="s">
        <v>151</v>
      </c>
      <c r="D58" s="63" t="s">
        <v>88</v>
      </c>
      <c r="E58" s="63" t="s">
        <v>96</v>
      </c>
      <c r="F58" s="64" t="s">
        <v>197</v>
      </c>
      <c r="G58" s="70" t="s">
        <v>127</v>
      </c>
    </row>
    <row r="59" spans="2:7">
      <c r="B59" s="275" t="s">
        <v>171</v>
      </c>
      <c r="C59" s="74" t="s">
        <v>158</v>
      </c>
      <c r="D59" s="74" t="s">
        <v>47</v>
      </c>
      <c r="E59" s="74">
        <f>Inputs!D44*Assumptions!E104</f>
        <v>31485000</v>
      </c>
      <c r="F59" s="210">
        <f>F66</f>
        <v>2.63175E-5</v>
      </c>
      <c r="G59" s="75">
        <f>F59*E59</f>
        <v>828.60648749999996</v>
      </c>
    </row>
    <row r="60" spans="2:7">
      <c r="B60" s="286"/>
      <c r="C60" s="8" t="s">
        <v>159</v>
      </c>
      <c r="D60" s="8" t="s">
        <v>49</v>
      </c>
      <c r="E60" s="8">
        <f>(Inputs!D45*Assumptions!E104)+(Inputs!D46*Inputs!D47)+(Inputs!E46*Inputs!E47)</f>
        <v>35540763.799999997</v>
      </c>
      <c r="F60" s="211">
        <f>F67</f>
        <v>2.6822700000000006E-4</v>
      </c>
      <c r="G60" s="76">
        <f t="shared" ref="G60:G62" si="2">F60*E60</f>
        <v>9532.9924517826021</v>
      </c>
    </row>
    <row r="61" spans="2:7">
      <c r="B61" s="286"/>
      <c r="C61" s="8" t="s">
        <v>48</v>
      </c>
      <c r="D61" s="8" t="s">
        <v>50</v>
      </c>
      <c r="E61" s="8">
        <f>(Inputs!D42*Assumptions!E104*Assumptions!E106)+(Inputs!D43*Assumptions!E106*Inputs!D47)+(Inputs!E43*Assumptions!E106*Inputs!E47)</f>
        <v>19179543.344000004</v>
      </c>
      <c r="F61" s="211">
        <f>F68</f>
        <v>5.6741000000000011E-5</v>
      </c>
      <c r="G61" s="76">
        <f t="shared" si="2"/>
        <v>1088.2664688819045</v>
      </c>
    </row>
    <row r="62" spans="2:7">
      <c r="B62" s="286"/>
      <c r="C62" s="8" t="s">
        <v>160</v>
      </c>
      <c r="D62" s="8" t="s">
        <v>51</v>
      </c>
      <c r="E62" s="8">
        <f>(Inputs!D42*Assumptions!E104*Assumptions!E107)+(Inputs!D43*Assumptions!E107*Inputs!D47)+(Inputs!E43*Assumptions!E107*Inputs!E47)</f>
        <v>93641299.855999991</v>
      </c>
      <c r="F62" s="211">
        <f>F69</f>
        <v>6.2524E-5</v>
      </c>
      <c r="G62" s="76">
        <f t="shared" si="2"/>
        <v>5854.8286321965434</v>
      </c>
    </row>
    <row r="63" spans="2:7" ht="15.75" thickBot="1"/>
    <row r="64" spans="2:7" ht="15.75" thickBot="1">
      <c r="B64" s="277" t="s">
        <v>9</v>
      </c>
      <c r="C64" s="278"/>
      <c r="D64" s="278"/>
      <c r="E64" s="278"/>
      <c r="F64" s="279"/>
      <c r="G64" s="69">
        <f>SUM(G66:G75)</f>
        <v>868.16167935590045</v>
      </c>
    </row>
    <row r="65" spans="2:9" ht="42.75" customHeight="1" thickBot="1">
      <c r="B65" s="62"/>
      <c r="C65" s="63" t="s">
        <v>151</v>
      </c>
      <c r="D65" s="63" t="s">
        <v>88</v>
      </c>
      <c r="E65" s="63" t="s">
        <v>96</v>
      </c>
      <c r="F65" s="84" t="s">
        <v>198</v>
      </c>
      <c r="G65" s="70" t="s">
        <v>127</v>
      </c>
    </row>
    <row r="66" spans="2:9">
      <c r="B66" s="291" t="s">
        <v>171</v>
      </c>
      <c r="C66" s="74" t="s">
        <v>161</v>
      </c>
      <c r="D66" s="74" t="s">
        <v>52</v>
      </c>
      <c r="E66" s="74">
        <f>Inputs!D53*Assumptions!E112</f>
        <v>52500</v>
      </c>
      <c r="F66" s="210">
        <f>(0.258+0.00465+0.000525)/10000</f>
        <v>2.63175E-5</v>
      </c>
      <c r="G66" s="75">
        <f>F66*E66</f>
        <v>1.38166875</v>
      </c>
      <c r="I66" s="104" t="s">
        <v>662</v>
      </c>
    </row>
    <row r="67" spans="2:9">
      <c r="B67" s="292"/>
      <c r="C67" s="8" t="s">
        <v>162</v>
      </c>
      <c r="D67" s="8" t="s">
        <v>53</v>
      </c>
      <c r="E67" s="8">
        <f>Inputs!D54*Assumptions!E112</f>
        <v>937500</v>
      </c>
      <c r="F67" s="211">
        <f>(2.64+0.0377+0.00457)/10000</f>
        <v>2.6822700000000006E-4</v>
      </c>
      <c r="G67" s="76">
        <f t="shared" ref="G67:G75" si="3">F67*E67</f>
        <v>251.46281250000007</v>
      </c>
      <c r="I67" s="104"/>
    </row>
    <row r="68" spans="2:9">
      <c r="B68" s="292"/>
      <c r="C68" s="8" t="s">
        <v>163</v>
      </c>
      <c r="D68" s="8" t="s">
        <v>54</v>
      </c>
      <c r="E68" s="8">
        <f>Inputs!D52*Assumptions!E114*Assumptions!E112</f>
        <v>91800</v>
      </c>
      <c r="F68" s="211">
        <f>(0.55+0.00787+0.00954)/10000</f>
        <v>5.6741000000000011E-5</v>
      </c>
      <c r="G68" s="76">
        <f t="shared" si="3"/>
        <v>5.2088238000000011</v>
      </c>
    </row>
    <row r="69" spans="2:9" ht="15" customHeight="1">
      <c r="B69" s="292"/>
      <c r="C69" s="8" t="s">
        <v>164</v>
      </c>
      <c r="D69" s="8" t="s">
        <v>55</v>
      </c>
      <c r="E69" s="8">
        <f>Inputs!D52*Assumptions!E115*Assumptions!E112</f>
        <v>448200</v>
      </c>
      <c r="F69" s="211">
        <f>(0.613+0.011+0.00124)/10000</f>
        <v>6.2524E-5</v>
      </c>
      <c r="G69" s="76">
        <f t="shared" si="3"/>
        <v>28.023256799999999</v>
      </c>
    </row>
    <row r="70" spans="2:9">
      <c r="B70" s="292"/>
      <c r="C70" s="80" t="s">
        <v>165</v>
      </c>
      <c r="D70" s="80" t="s">
        <v>237</v>
      </c>
      <c r="E70" s="8">
        <f>Inputs!D70</f>
        <v>924662.4</v>
      </c>
      <c r="F70" s="211">
        <f>(3.43+0.0493+0.00598)/10000</f>
        <v>3.4852800000000002E-4</v>
      </c>
      <c r="G70" s="76">
        <f t="shared" si="3"/>
        <v>322.27073694720002</v>
      </c>
    </row>
    <row r="71" spans="2:9">
      <c r="B71" s="292"/>
      <c r="C71" s="8" t="s">
        <v>166</v>
      </c>
      <c r="D71" s="8" t="s">
        <v>56</v>
      </c>
      <c r="E71" s="8">
        <f>Inputs!D55*Inputs!D56</f>
        <v>1533000</v>
      </c>
      <c r="F71" s="211">
        <f>(0.00428+0.118+0.00061)/10000</f>
        <v>1.2289E-5</v>
      </c>
      <c r="G71" s="76">
        <f t="shared" si="3"/>
        <v>18.839037000000001</v>
      </c>
    </row>
    <row r="72" spans="2:9">
      <c r="B72" s="292"/>
      <c r="C72" s="8" t="s">
        <v>167</v>
      </c>
      <c r="D72" s="8" t="s">
        <v>58</v>
      </c>
      <c r="E72" s="8">
        <f>(Inputs!D57*Inputs!D58)+(Inputs!E57*Inputs!E58)</f>
        <v>358730.41484120005</v>
      </c>
      <c r="F72" s="211">
        <f>(0.0845+0.00122+0.000146)/10000</f>
        <v>8.5866000000000001E-6</v>
      </c>
      <c r="G72" s="76">
        <f t="shared" si="3"/>
        <v>3.0802745800754483</v>
      </c>
    </row>
    <row r="73" spans="2:9">
      <c r="B73" s="292"/>
      <c r="C73" s="8" t="s">
        <v>168</v>
      </c>
      <c r="D73" s="8" t="s">
        <v>57</v>
      </c>
      <c r="E73" s="8">
        <f>(((Inputs!D59*Assumptions!E116)+(Inputs!D60*Assumptions!E117)+(Inputs!D61*Assumptions!E118)+(Inputs!D62*Assumptions!E119)+(Inputs!D63*Assumptions!E120))*Inputs!D58)+(((Inputs!E59*Assumptions!E116)*(Inputs!E60*Assumptions!E117)+(Inputs!E61*Assumptions!E118)+(Inputs!E62*Assumptions!E119)+(Inputs!E63*Assumptions!E120))*Inputs!E58)</f>
        <v>2152672.6348496</v>
      </c>
      <c r="F73" s="211">
        <f>(0.0909+0.00131+0.000157)/10000</f>
        <v>9.2367000000000009E-6</v>
      </c>
      <c r="G73" s="76">
        <f t="shared" si="3"/>
        <v>19.883591326315301</v>
      </c>
    </row>
    <row r="74" spans="2:9">
      <c r="B74" s="292"/>
      <c r="C74" s="8" t="s">
        <v>169</v>
      </c>
      <c r="D74" s="8" t="s">
        <v>59</v>
      </c>
      <c r="E74" s="8">
        <f>(Inputs!D64*Inputs!D68)+(Inputs!D65*Inputs!D69)</f>
        <v>4851199.176</v>
      </c>
      <c r="F74" s="211">
        <f>(0.436+0.00611+0.000661)/10000</f>
        <v>4.4277100000000003E-5</v>
      </c>
      <c r="G74" s="76">
        <f t="shared" si="3"/>
        <v>214.79703103566962</v>
      </c>
    </row>
    <row r="75" spans="2:9" ht="15.75" thickBot="1">
      <c r="B75" s="293"/>
      <c r="C75" s="71" t="s">
        <v>170</v>
      </c>
      <c r="D75" s="71" t="s">
        <v>60</v>
      </c>
      <c r="E75" s="71">
        <f>(Inputs!D66*Inputs!D69)+(Inputs!D67*Inputs!D68)</f>
        <v>7259.84</v>
      </c>
      <c r="F75" s="212">
        <f>(4.36+0.0611+0.00661)/10000</f>
        <v>4.4277100000000001E-4</v>
      </c>
      <c r="G75" s="72">
        <f t="shared" si="3"/>
        <v>3.2144466166400001</v>
      </c>
    </row>
    <row r="77" spans="2:9" ht="15.75" thickBot="1"/>
    <row r="78" spans="2:9" ht="15.75" thickBot="1">
      <c r="B78" s="277" t="s">
        <v>10</v>
      </c>
      <c r="C78" s="290"/>
      <c r="D78" s="278"/>
      <c r="E78" s="278"/>
      <c r="F78" s="279"/>
      <c r="G78" s="69">
        <f>SUM(G80:G90,G92:G99,G101:G102,G104:G105)</f>
        <v>3172.68779845675</v>
      </c>
    </row>
    <row r="79" spans="2:9" ht="15.75" thickBot="1">
      <c r="B79" s="77"/>
      <c r="C79" s="78" t="s">
        <v>151</v>
      </c>
      <c r="D79" s="78" t="s">
        <v>88</v>
      </c>
      <c r="E79" s="78" t="s">
        <v>96</v>
      </c>
      <c r="F79" s="79" t="s">
        <v>126</v>
      </c>
      <c r="G79" s="70" t="s">
        <v>127</v>
      </c>
    </row>
    <row r="80" spans="2:9">
      <c r="B80" s="268" t="s">
        <v>172</v>
      </c>
      <c r="C80" s="74" t="s">
        <v>38</v>
      </c>
      <c r="D80" s="74" t="s">
        <v>11</v>
      </c>
      <c r="E80" s="198">
        <f>(Assumptions!$E$125*Inputs!$D$75+Assumptions!$E$126*Inputs!$D$76)*Assumptions!E132*Assumptions!$E$127/1000000</f>
        <v>15.1578</v>
      </c>
      <c r="F80" s="210">
        <f t="shared" ref="F80:F86" si="4">F10</f>
        <v>0.30759999999999998</v>
      </c>
      <c r="G80" s="75">
        <f>F80*E80</f>
        <v>4.6625392799999998</v>
      </c>
    </row>
    <row r="81" spans="2:7">
      <c r="B81" s="269"/>
      <c r="C81" s="8" t="s">
        <v>40</v>
      </c>
      <c r="D81" s="8" t="s">
        <v>26</v>
      </c>
      <c r="E81" s="8">
        <f>(Assumptions!$E$125*Inputs!$D$75+Assumptions!$E$126*Inputs!$D$76)*Assumptions!E133*Assumptions!$E$127/1000000</f>
        <v>28.894556250000001</v>
      </c>
      <c r="F81" s="211">
        <f t="shared" si="4"/>
        <v>9.6000000000000002E-2</v>
      </c>
      <c r="G81" s="76">
        <f t="shared" ref="G81:G90" si="5">F81*E81</f>
        <v>2.7738773999999999</v>
      </c>
    </row>
    <row r="82" spans="2:7">
      <c r="B82" s="269"/>
      <c r="C82" s="8" t="s">
        <v>175</v>
      </c>
      <c r="D82" s="8" t="s">
        <v>12</v>
      </c>
      <c r="E82" s="8">
        <f>(Assumptions!$E$125*Inputs!$D$75+Assumptions!$E$126*Inputs!$D$76)*Assumptions!E134*Assumptions!$E$127/1000000</f>
        <v>1.894725</v>
      </c>
      <c r="F82" s="211">
        <f t="shared" si="4"/>
        <v>0.33550000000000002</v>
      </c>
      <c r="G82" s="76">
        <f t="shared" si="5"/>
        <v>0.63568023750000002</v>
      </c>
    </row>
    <row r="83" spans="2:7">
      <c r="B83" s="269"/>
      <c r="C83" s="8" t="s">
        <v>176</v>
      </c>
      <c r="D83" s="8" t="s">
        <v>16</v>
      </c>
      <c r="E83" s="8">
        <f>(Assumptions!$E$125*Inputs!$D$75+Assumptions!$E$126*Inputs!$D$76)*Assumptions!E135*Assumptions!$E$127/1000000</f>
        <v>7.5789</v>
      </c>
      <c r="F83" s="211">
        <f t="shared" si="4"/>
        <v>0.66700000000000004</v>
      </c>
      <c r="G83" s="76">
        <f t="shared" si="5"/>
        <v>5.0551263000000004</v>
      </c>
    </row>
    <row r="84" spans="2:7">
      <c r="B84" s="269"/>
      <c r="C84" s="8" t="s">
        <v>177</v>
      </c>
      <c r="D84" s="8" t="s">
        <v>17</v>
      </c>
      <c r="E84" s="8">
        <f>(Assumptions!$E$125*Inputs!$D$75+Assumptions!$E$126*Inputs!$D$76)*Assumptions!E136*Assumptions!$E$127/1000000</f>
        <v>4.2631312499999998</v>
      </c>
      <c r="F84" s="211">
        <f t="shared" si="4"/>
        <v>0.42299999999999999</v>
      </c>
      <c r="G84" s="76">
        <f t="shared" si="5"/>
        <v>1.8033045187499999</v>
      </c>
    </row>
    <row r="85" spans="2:7">
      <c r="B85" s="269"/>
      <c r="C85" s="8" t="s">
        <v>179</v>
      </c>
      <c r="D85" s="8" t="s">
        <v>23</v>
      </c>
      <c r="E85" s="8">
        <f>(Assumptions!$E$125*Inputs!$D$75+Assumptions!$E$126*Inputs!$D$76)*Assumptions!E137*Assumptions!$E$127/1000000</f>
        <v>25.578787500000001</v>
      </c>
      <c r="F85" s="211">
        <f t="shared" si="4"/>
        <v>0.68130000000000002</v>
      </c>
      <c r="G85" s="76">
        <f t="shared" si="5"/>
        <v>17.42682792375</v>
      </c>
    </row>
    <row r="86" spans="2:7">
      <c r="B86" s="269"/>
      <c r="C86" s="8" t="s">
        <v>180</v>
      </c>
      <c r="D86" s="8" t="s">
        <v>423</v>
      </c>
      <c r="E86" s="8">
        <f>(Assumptions!$E$125*Inputs!$D$75+Assumptions!$E$126*Inputs!$D$76)*Assumptions!E138*Assumptions!$E$127/1000000</f>
        <v>255.31419375000007</v>
      </c>
      <c r="F86" s="211">
        <f t="shared" si="4"/>
        <v>0.74299999999999999</v>
      </c>
      <c r="G86" s="76">
        <f t="shared" si="5"/>
        <v>189.69844595625005</v>
      </c>
    </row>
    <row r="87" spans="2:7">
      <c r="B87" s="269"/>
      <c r="C87" s="8" t="s">
        <v>181</v>
      </c>
      <c r="D87" s="8" t="s">
        <v>27</v>
      </c>
      <c r="E87" s="8">
        <f>(Assumptions!$E$125*Inputs!$D$75+Assumptions!$E$126*Inputs!$D$76)*Assumptions!E139*Assumptions!$E$127/1000000</f>
        <v>84.788943749999987</v>
      </c>
      <c r="F87" s="211">
        <f t="shared" ref="F87:F90" si="6">F17</f>
        <v>2.11</v>
      </c>
      <c r="G87" s="76">
        <f t="shared" si="5"/>
        <v>178.90467131249997</v>
      </c>
    </row>
    <row r="88" spans="2:7">
      <c r="B88" s="269"/>
      <c r="C88" s="80" t="s">
        <v>182</v>
      </c>
      <c r="D88" s="80" t="s">
        <v>25</v>
      </c>
      <c r="E88" s="8">
        <f>(Inputs!D75*Assumptions!E141*Assumptions!E140*Assumptions!E127)/1000000</f>
        <v>0.16484107499999998</v>
      </c>
      <c r="F88" s="211">
        <f t="shared" si="6"/>
        <v>1.1399999999999999</v>
      </c>
      <c r="G88" s="76">
        <f t="shared" si="5"/>
        <v>0.18791882549999997</v>
      </c>
    </row>
    <row r="89" spans="2:7">
      <c r="B89" s="269"/>
      <c r="C89" s="80" t="s">
        <v>183</v>
      </c>
      <c r="D89" s="80" t="s">
        <v>119</v>
      </c>
      <c r="E89" s="8">
        <f>(Assumptions!$E$125*Inputs!$D$75+Assumptions!$E$126*Inputs!$D$76)*Assumptions!E142*Assumptions!$E$127/1000000</f>
        <v>47.368124999999999</v>
      </c>
      <c r="F89" s="211">
        <f t="shared" si="6"/>
        <v>0.5736</v>
      </c>
      <c r="G89" s="76">
        <f t="shared" si="5"/>
        <v>27.1703565</v>
      </c>
    </row>
    <row r="90" spans="2:7" ht="15.75" thickBot="1">
      <c r="B90" s="270"/>
      <c r="C90" s="81" t="s">
        <v>184</v>
      </c>
      <c r="D90" s="71" t="s">
        <v>28</v>
      </c>
      <c r="E90" s="71">
        <f>(Assumptions!$E$125*Inputs!$D$75+Assumptions!$E$126*Inputs!$D$76)*Assumptions!E143*Assumptions!$E$127/1000000</f>
        <v>6.15785625</v>
      </c>
      <c r="F90" s="212">
        <f t="shared" si="6"/>
        <v>2.5920000000000001</v>
      </c>
      <c r="G90" s="72">
        <f t="shared" si="5"/>
        <v>15.9611634</v>
      </c>
    </row>
    <row r="91" spans="2:7" ht="15.75" thickBot="1">
      <c r="B91" s="65"/>
      <c r="C91" s="66" t="s">
        <v>151</v>
      </c>
      <c r="D91" s="66" t="s">
        <v>88</v>
      </c>
      <c r="E91" s="66" t="s">
        <v>96</v>
      </c>
      <c r="F91" s="213" t="s">
        <v>126</v>
      </c>
      <c r="G91" s="73" t="s">
        <v>127</v>
      </c>
    </row>
    <row r="92" spans="2:7">
      <c r="B92" s="268" t="s">
        <v>128</v>
      </c>
      <c r="C92" s="74" t="s">
        <v>185</v>
      </c>
      <c r="D92" s="74" t="s">
        <v>18</v>
      </c>
      <c r="E92" s="198">
        <f>(Assumptions!$E$125*Inputs!$D$75+Assumptions!$E$126*Inputs!$D$76)*Assumptions!E145*Assumptions!$E$127/1000000</f>
        <v>20.841975000000005</v>
      </c>
      <c r="F92" s="210">
        <f t="shared" ref="F92:F98" si="7">F22</f>
        <v>1.38</v>
      </c>
      <c r="G92" s="75">
        <f>F92*E92</f>
        <v>28.761925500000004</v>
      </c>
    </row>
    <row r="93" spans="2:7">
      <c r="B93" s="269"/>
      <c r="C93" s="8" t="s">
        <v>186</v>
      </c>
      <c r="D93" s="8" t="s">
        <v>117</v>
      </c>
      <c r="E93" s="8">
        <f>(Assumptions!$E$125*Inputs!$D$75+Assumptions!$E$126*Inputs!$D$76)*Assumptions!E146*Assumptions!$E$127/1000000</f>
        <v>19.420931249999995</v>
      </c>
      <c r="F93" s="211">
        <f t="shared" si="7"/>
        <v>14.65</v>
      </c>
      <c r="G93" s="76">
        <f t="shared" ref="G93:G99" si="8">F93*E93</f>
        <v>284.51664281249992</v>
      </c>
    </row>
    <row r="94" spans="2:7">
      <c r="B94" s="269"/>
      <c r="C94" s="8" t="s">
        <v>142</v>
      </c>
      <c r="D94" s="8" t="s">
        <v>118</v>
      </c>
      <c r="E94" s="8">
        <f>(Assumptions!$E$125*Inputs!$D$75+Assumptions!$E$126*Inputs!$D$76)*Assumptions!E147*Assumptions!$E$127/1000000</f>
        <v>9.4736250000000002</v>
      </c>
      <c r="F94" s="211">
        <f t="shared" si="7"/>
        <v>1.38</v>
      </c>
      <c r="G94" s="76">
        <f t="shared" si="8"/>
        <v>13.0736025</v>
      </c>
    </row>
    <row r="95" spans="2:7">
      <c r="B95" s="269"/>
      <c r="C95" s="8" t="s">
        <v>187</v>
      </c>
      <c r="D95" s="8" t="s">
        <v>19</v>
      </c>
      <c r="E95" s="8">
        <f>(Assumptions!$E$125*Inputs!$D$75+Assumptions!$E$126*Inputs!$D$76)*Assumptions!E148*Assumptions!$E$127/1000000</f>
        <v>15.1578</v>
      </c>
      <c r="F95" s="211">
        <f t="shared" si="7"/>
        <v>0.69</v>
      </c>
      <c r="G95" s="76">
        <f t="shared" si="8"/>
        <v>10.458881999999999</v>
      </c>
    </row>
    <row r="96" spans="2:7">
      <c r="B96" s="269"/>
      <c r="C96" s="8" t="s">
        <v>188</v>
      </c>
      <c r="D96" s="8" t="s">
        <v>20</v>
      </c>
      <c r="E96" s="8">
        <f>(Assumptions!$E$125*Inputs!$D$75+Assumptions!$E$126*Inputs!$D$76)*Assumptions!E149*Assumptions!$E$127/1000000</f>
        <v>12.3157125</v>
      </c>
      <c r="F96" s="211">
        <f t="shared" si="7"/>
        <v>0.51300000000000001</v>
      </c>
      <c r="G96" s="76">
        <f t="shared" si="8"/>
        <v>6.3179605125</v>
      </c>
    </row>
    <row r="97" spans="2:7">
      <c r="B97" s="269"/>
      <c r="C97" s="8" t="s">
        <v>189</v>
      </c>
      <c r="D97" s="8" t="s">
        <v>14</v>
      </c>
      <c r="E97" s="8">
        <f>(Assumptions!$E$125*Inputs!$D$75+Assumptions!$E$126*Inputs!$D$76)*Assumptions!E150*Assumptions!$E$127/1000000</f>
        <v>153.94640625</v>
      </c>
      <c r="F97" s="211">
        <f t="shared" si="7"/>
        <v>0.1855</v>
      </c>
      <c r="G97" s="76">
        <f t="shared" si="8"/>
        <v>28.557058359374999</v>
      </c>
    </row>
    <row r="98" spans="2:7">
      <c r="B98" s="269"/>
      <c r="C98" s="8" t="s">
        <v>190</v>
      </c>
      <c r="D98" s="8" t="s">
        <v>15</v>
      </c>
      <c r="E98" s="8">
        <f>(Assumptions!$E$125*Inputs!$D$75+Assumptions!$E$126*Inputs!$D$76)*Assumptions!E151*Assumptions!$E$127/1000000</f>
        <v>9.4736250000000002</v>
      </c>
      <c r="F98" s="211">
        <f t="shared" si="7"/>
        <v>0.151</v>
      </c>
      <c r="G98" s="76">
        <f t="shared" si="8"/>
        <v>1.430517375</v>
      </c>
    </row>
    <row r="99" spans="2:7" ht="36" customHeight="1" thickBot="1">
      <c r="B99" s="270"/>
      <c r="C99" s="71" t="s">
        <v>191</v>
      </c>
      <c r="D99" s="71" t="s">
        <v>13</v>
      </c>
      <c r="E99" s="71">
        <f>(Assumptions!$E$125*Inputs!$D$75+Assumptions!$E$126*Inputs!$D$76)*Assumptions!E152*Assumptions!$E$127/1000000</f>
        <v>3.3157687500000002</v>
      </c>
      <c r="F99" s="212">
        <f t="shared" ref="F99" si="9">F29</f>
        <v>1.17E-2</v>
      </c>
      <c r="G99" s="72">
        <f t="shared" si="8"/>
        <v>3.8794494375000002E-2</v>
      </c>
    </row>
    <row r="100" spans="2:7" ht="15" customHeight="1" thickBot="1">
      <c r="B100" s="65"/>
      <c r="C100" s="66" t="s">
        <v>151</v>
      </c>
      <c r="D100" s="66" t="s">
        <v>88</v>
      </c>
      <c r="E100" s="199" t="s">
        <v>96</v>
      </c>
      <c r="F100" s="213" t="s">
        <v>126</v>
      </c>
      <c r="G100" s="73" t="s">
        <v>127</v>
      </c>
    </row>
    <row r="101" spans="2:7" ht="25.5" customHeight="1">
      <c r="B101" s="275" t="s">
        <v>407</v>
      </c>
      <c r="C101" s="74" t="s">
        <v>192</v>
      </c>
      <c r="D101" s="74" t="s">
        <v>21</v>
      </c>
      <c r="E101" s="126">
        <f>(Assumptions!$E$125*Inputs!$D$75+Assumptions!$E$126*Inputs!$D$76)*Assumptions!E154*Assumptions!$E$127/1000000</f>
        <v>21.31565625</v>
      </c>
      <c r="F101" s="210">
        <f>F31</f>
        <v>1.28</v>
      </c>
      <c r="G101" s="75">
        <f>F101*E101</f>
        <v>27.284040000000001</v>
      </c>
    </row>
    <row r="102" spans="2:7" ht="30" customHeight="1" thickBot="1">
      <c r="B102" s="276"/>
      <c r="C102" s="71" t="s">
        <v>193</v>
      </c>
      <c r="D102" s="71" t="s">
        <v>22</v>
      </c>
      <c r="E102" s="71">
        <f>(Assumptions!$E$125*Inputs!$D$75+Assumptions!$E$126*Inputs!$D$76)*Assumptions!E155*Assumptions!$E$127/1000000</f>
        <v>34.578731249999997</v>
      </c>
      <c r="F102" s="212">
        <f>F32</f>
        <v>2.1399999999999999E-2</v>
      </c>
      <c r="G102" s="72">
        <f>F102*E102</f>
        <v>0.73998484874999992</v>
      </c>
    </row>
    <row r="103" spans="2:7" ht="15" customHeight="1" thickBot="1">
      <c r="B103" s="65"/>
      <c r="C103" s="66" t="s">
        <v>151</v>
      </c>
      <c r="D103" s="66" t="s">
        <v>88</v>
      </c>
      <c r="E103" s="66" t="s">
        <v>96</v>
      </c>
      <c r="F103" s="213" t="s">
        <v>126</v>
      </c>
      <c r="G103" s="73" t="s">
        <v>127</v>
      </c>
    </row>
    <row r="104" spans="2:7" ht="25.5" customHeight="1">
      <c r="B104" s="275" t="s">
        <v>171</v>
      </c>
      <c r="C104" s="74" t="s">
        <v>194</v>
      </c>
      <c r="D104" s="74" t="s">
        <v>31</v>
      </c>
      <c r="E104" s="74">
        <f>(Inputs!D77*Assumptions!E128*Assumptions!E157)+(Inputs!D78*Assumptions!E129*Assumptions!E158)+(Inputs!D79*Assumptions!E130*Assumptions!E159)</f>
        <v>5977360</v>
      </c>
      <c r="F104" s="210">
        <f>F36</f>
        <v>2.7094E-4</v>
      </c>
      <c r="G104" s="75">
        <f>F104*E104</f>
        <v>1619.5059183999999</v>
      </c>
    </row>
    <row r="105" spans="2:7" ht="25.5" customHeight="1" thickBot="1">
      <c r="B105" s="276"/>
      <c r="C105" s="71" t="s">
        <v>195</v>
      </c>
      <c r="D105" s="71" t="s">
        <v>32</v>
      </c>
      <c r="E105" s="71">
        <f>(Inputs!D77*Assumptions!E128*Assumptions!E160)+(Inputs!D78*Assumptions!E129*Assumptions!E161)+(Inputs!D79*Assumptions!E130*Assumptions!E162)</f>
        <v>7609920</v>
      </c>
      <c r="F105" s="212">
        <f>0.93/10000</f>
        <v>9.3000000000000011E-5</v>
      </c>
      <c r="G105" s="72">
        <f>F105*E105</f>
        <v>707.72256000000004</v>
      </c>
    </row>
  </sheetData>
  <mergeCells count="24">
    <mergeCell ref="B101:B102"/>
    <mergeCell ref="B104:B105"/>
    <mergeCell ref="B48:B49"/>
    <mergeCell ref="B59:B62"/>
    <mergeCell ref="B52:F52"/>
    <mergeCell ref="B57:F57"/>
    <mergeCell ref="B66:B75"/>
    <mergeCell ref="B64:F64"/>
    <mergeCell ref="B78:F78"/>
    <mergeCell ref="B1:D1"/>
    <mergeCell ref="B4:D4"/>
    <mergeCell ref="B5:D5"/>
    <mergeCell ref="B92:B99"/>
    <mergeCell ref="B80:B90"/>
    <mergeCell ref="B3:D3"/>
    <mergeCell ref="B2:D2"/>
    <mergeCell ref="B10:B20"/>
    <mergeCell ref="B22:B29"/>
    <mergeCell ref="B31:B32"/>
    <mergeCell ref="B36:B37"/>
    <mergeCell ref="B8:F8"/>
    <mergeCell ref="B40:F40"/>
    <mergeCell ref="B46:F46"/>
    <mergeCell ref="B42:B43"/>
  </mergeCell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dimension ref="B1:O58"/>
  <sheetViews>
    <sheetView workbookViewId="0">
      <selection activeCell="J11" sqref="J11"/>
    </sheetView>
  </sheetViews>
  <sheetFormatPr defaultColWidth="8.85546875" defaultRowHeight="15"/>
  <cols>
    <col min="2" max="2" width="28" customWidth="1"/>
    <col min="3" max="4" width="32.42578125" customWidth="1"/>
    <col min="5" max="5" width="28" customWidth="1"/>
    <col min="6" max="6" width="60.85546875" customWidth="1"/>
    <col min="7" max="7" width="13.42578125" customWidth="1"/>
  </cols>
  <sheetData>
    <row r="1" spans="2:6" ht="16.5" thickBot="1">
      <c r="B1" s="368" t="s">
        <v>29</v>
      </c>
      <c r="C1" s="369">
        <f>SUM(F4:F8)</f>
        <v>187528.05800000002</v>
      </c>
      <c r="F1" s="104" t="s">
        <v>366</v>
      </c>
    </row>
    <row r="3" spans="2:6">
      <c r="B3" s="14" t="s">
        <v>90</v>
      </c>
      <c r="C3" s="14" t="s">
        <v>91</v>
      </c>
      <c r="D3" s="14" t="s">
        <v>92</v>
      </c>
      <c r="E3" s="108" t="s">
        <v>93</v>
      </c>
      <c r="F3" s="14" t="s">
        <v>95</v>
      </c>
    </row>
    <row r="4" spans="2:6">
      <c r="B4" s="8" t="s">
        <v>33</v>
      </c>
      <c r="C4" s="8">
        <f>(IF(D20&gt;0,D20,(G20+G21+G22)))-D43</f>
        <v>51961.07</v>
      </c>
      <c r="D4" s="8">
        <v>2.2000000000000002</v>
      </c>
      <c r="E4" s="109">
        <v>1.5</v>
      </c>
      <c r="F4" s="8">
        <f>E4*D4*C4</f>
        <v>171471.53100000002</v>
      </c>
    </row>
    <row r="5" spans="2:6">
      <c r="B5" s="8" t="s">
        <v>34</v>
      </c>
      <c r="C5" s="8">
        <f>IF(D27&gt;0,D27,(G27+G28+G29))</f>
        <v>4528.3599999999997</v>
      </c>
      <c r="D5" s="8">
        <v>0.5</v>
      </c>
      <c r="E5" s="109">
        <v>2</v>
      </c>
      <c r="F5" s="8">
        <f t="shared" ref="F5:F8" si="0">E5*D5*C5</f>
        <v>4528.3599999999997</v>
      </c>
    </row>
    <row r="6" spans="2:6">
      <c r="B6" s="8" t="s">
        <v>35</v>
      </c>
      <c r="C6" s="8">
        <f>IF(D34&gt;0,D34,(G34+G35+G36))</f>
        <v>12283.86</v>
      </c>
      <c r="D6" s="8">
        <v>0.4</v>
      </c>
      <c r="E6" s="109">
        <v>0.8</v>
      </c>
      <c r="F6" s="8">
        <f t="shared" si="0"/>
        <v>3930.8352000000009</v>
      </c>
    </row>
    <row r="7" spans="2:6">
      <c r="B7" s="8" t="s">
        <v>349</v>
      </c>
      <c r="C7" s="8">
        <f>IF((D41+D43)&gt;0,(D41+D43),(G41+G42+D43))</f>
        <v>910.64</v>
      </c>
      <c r="D7" s="8">
        <v>1.4</v>
      </c>
      <c r="E7" s="109">
        <v>1.3</v>
      </c>
      <c r="F7" s="8">
        <f t="shared" si="0"/>
        <v>1657.3647999999998</v>
      </c>
    </row>
    <row r="8" spans="2:6">
      <c r="B8" s="8" t="s">
        <v>36</v>
      </c>
      <c r="C8" s="8">
        <f>IF(D48&gt;0,D48,(G48+G49+G51+G50+G52))</f>
        <v>1799.99</v>
      </c>
      <c r="D8" s="8">
        <v>2.2000000000000002</v>
      </c>
      <c r="E8" s="109">
        <v>1.5</v>
      </c>
      <c r="F8" s="8">
        <f t="shared" si="0"/>
        <v>5939.9670000000006</v>
      </c>
    </row>
    <row r="11" spans="2:6">
      <c r="B11" s="309" t="s">
        <v>367</v>
      </c>
      <c r="C11" s="309"/>
      <c r="D11" s="309"/>
      <c r="E11" s="309"/>
      <c r="F11" s="309"/>
    </row>
    <row r="12" spans="2:6">
      <c r="B12" s="308" t="s">
        <v>368</v>
      </c>
      <c r="C12" s="308"/>
      <c r="D12" s="308"/>
      <c r="E12" s="308"/>
      <c r="F12" s="308"/>
    </row>
    <row r="13" spans="2:6">
      <c r="B13" s="308" t="s">
        <v>369</v>
      </c>
      <c r="C13" s="308"/>
      <c r="D13" s="308"/>
      <c r="E13" s="308"/>
      <c r="F13" s="308"/>
    </row>
    <row r="14" spans="2:6">
      <c r="B14" s="106" t="s">
        <v>370</v>
      </c>
      <c r="C14" s="106"/>
      <c r="D14" s="106"/>
      <c r="E14" s="106"/>
      <c r="F14" s="106"/>
    </row>
    <row r="16" spans="2:6">
      <c r="B16" s="313" t="s">
        <v>375</v>
      </c>
      <c r="C16" s="313"/>
      <c r="D16" s="313"/>
      <c r="E16" s="313"/>
      <c r="F16" s="313"/>
    </row>
    <row r="17" spans="2:7">
      <c r="B17" s="7"/>
      <c r="C17" s="7"/>
      <c r="D17" s="7"/>
      <c r="E17" s="7"/>
    </row>
    <row r="18" spans="2:7">
      <c r="B18" s="295" t="s">
        <v>64</v>
      </c>
      <c r="C18" s="296"/>
      <c r="D18" s="296"/>
      <c r="E18" s="296"/>
      <c r="F18" s="296"/>
      <c r="G18" s="297"/>
    </row>
    <row r="19" spans="2:7">
      <c r="B19" s="34" t="s">
        <v>151</v>
      </c>
      <c r="C19" s="34" t="s">
        <v>88</v>
      </c>
      <c r="D19" s="34" t="s">
        <v>278</v>
      </c>
      <c r="E19" s="34" t="s">
        <v>151</v>
      </c>
      <c r="F19" s="34" t="s">
        <v>88</v>
      </c>
      <c r="G19" s="34" t="s">
        <v>278</v>
      </c>
    </row>
    <row r="20" spans="2:7">
      <c r="B20" s="310" t="s">
        <v>371</v>
      </c>
      <c r="C20" s="316" t="s">
        <v>69</v>
      </c>
      <c r="D20" s="316">
        <f>51961.07+50.1</f>
        <v>52011.17</v>
      </c>
      <c r="E20" s="12" t="s">
        <v>372</v>
      </c>
      <c r="F20" s="13" t="s">
        <v>94</v>
      </c>
      <c r="G20" s="9">
        <v>108390</v>
      </c>
    </row>
    <row r="21" spans="2:7">
      <c r="B21" s="311"/>
      <c r="C21" s="317"/>
      <c r="D21" s="317"/>
      <c r="E21" s="12" t="s">
        <v>373</v>
      </c>
      <c r="F21" s="11" t="s">
        <v>71</v>
      </c>
      <c r="G21" s="9">
        <v>2280</v>
      </c>
    </row>
    <row r="22" spans="2:7">
      <c r="B22" s="312"/>
      <c r="C22" s="318"/>
      <c r="D22" s="318"/>
      <c r="E22" s="12" t="s">
        <v>374</v>
      </c>
      <c r="F22" s="11" t="s">
        <v>72</v>
      </c>
      <c r="G22" s="9">
        <v>552</v>
      </c>
    </row>
    <row r="24" spans="2:7">
      <c r="B24" s="21"/>
      <c r="C24" s="22"/>
      <c r="D24" s="22"/>
      <c r="E24" s="21"/>
      <c r="F24" s="23"/>
      <c r="G24" s="10"/>
    </row>
    <row r="25" spans="2:7">
      <c r="B25" s="294" t="s">
        <v>65</v>
      </c>
      <c r="C25" s="294"/>
      <c r="D25" s="294"/>
      <c r="E25" s="294"/>
      <c r="F25" s="294"/>
      <c r="G25" s="294"/>
    </row>
    <row r="26" spans="2:7">
      <c r="B26" s="34" t="s">
        <v>151</v>
      </c>
      <c r="C26" s="34" t="s">
        <v>88</v>
      </c>
      <c r="D26" s="34" t="s">
        <v>278</v>
      </c>
      <c r="E26" s="34" t="s">
        <v>151</v>
      </c>
      <c r="F26" s="34" t="s">
        <v>88</v>
      </c>
      <c r="G26" s="34" t="s">
        <v>278</v>
      </c>
    </row>
    <row r="27" spans="2:7">
      <c r="B27" s="298" t="s">
        <v>379</v>
      </c>
      <c r="C27" s="299" t="s">
        <v>70</v>
      </c>
      <c r="D27" s="319">
        <v>4528.3599999999997</v>
      </c>
      <c r="E27" s="14" t="s">
        <v>376</v>
      </c>
      <c r="F27" s="8" t="s">
        <v>74</v>
      </c>
      <c r="G27" s="8">
        <v>4040</v>
      </c>
    </row>
    <row r="28" spans="2:7">
      <c r="B28" s="298"/>
      <c r="C28" s="299"/>
      <c r="D28" s="320"/>
      <c r="E28" s="14" t="s">
        <v>377</v>
      </c>
      <c r="F28" s="8" t="s">
        <v>73</v>
      </c>
      <c r="G28" s="8">
        <v>3910</v>
      </c>
    </row>
    <row r="29" spans="2:7">
      <c r="B29" s="298"/>
      <c r="C29" s="299"/>
      <c r="D29" s="321"/>
      <c r="E29" s="14" t="s">
        <v>378</v>
      </c>
      <c r="F29" s="8" t="s">
        <v>75</v>
      </c>
      <c r="G29" s="8">
        <v>810</v>
      </c>
    </row>
    <row r="30" spans="2:7">
      <c r="B30" s="18"/>
      <c r="C30" s="18"/>
      <c r="D30" s="18"/>
      <c r="E30" s="19"/>
      <c r="F30" s="20"/>
    </row>
    <row r="31" spans="2:7">
      <c r="B31" s="18"/>
      <c r="C31" s="18"/>
      <c r="D31" s="18"/>
      <c r="E31" s="19"/>
      <c r="F31" s="20"/>
    </row>
    <row r="32" spans="2:7">
      <c r="B32" s="294" t="s">
        <v>66</v>
      </c>
      <c r="C32" s="294"/>
      <c r="D32" s="294"/>
      <c r="E32" s="294"/>
      <c r="F32" s="294"/>
      <c r="G32" s="294"/>
    </row>
    <row r="33" spans="2:15">
      <c r="B33" s="34" t="s">
        <v>151</v>
      </c>
      <c r="C33" s="34" t="s">
        <v>88</v>
      </c>
      <c r="D33" s="34" t="s">
        <v>278</v>
      </c>
      <c r="E33" s="34" t="s">
        <v>151</v>
      </c>
      <c r="F33" s="34" t="s">
        <v>88</v>
      </c>
      <c r="G33" s="34" t="s">
        <v>278</v>
      </c>
    </row>
    <row r="34" spans="2:15">
      <c r="B34" s="298" t="s">
        <v>380</v>
      </c>
      <c r="C34" s="299" t="s">
        <v>79</v>
      </c>
      <c r="D34" s="319">
        <v>12283.86</v>
      </c>
      <c r="E34" s="14" t="s">
        <v>381</v>
      </c>
      <c r="F34" s="8" t="s">
        <v>80</v>
      </c>
      <c r="G34" s="8">
        <v>7030</v>
      </c>
    </row>
    <row r="35" spans="2:15">
      <c r="B35" s="299"/>
      <c r="C35" s="299"/>
      <c r="D35" s="320"/>
      <c r="E35" s="14" t="s">
        <v>382</v>
      </c>
      <c r="F35" s="8" t="s">
        <v>81</v>
      </c>
      <c r="G35" s="8">
        <v>60</v>
      </c>
    </row>
    <row r="36" spans="2:15">
      <c r="B36" s="299"/>
      <c r="C36" s="299"/>
      <c r="D36" s="321"/>
      <c r="E36" s="14" t="s">
        <v>383</v>
      </c>
      <c r="F36" s="8" t="s">
        <v>384</v>
      </c>
      <c r="G36" s="8">
        <v>12140</v>
      </c>
    </row>
    <row r="37" spans="2:15">
      <c r="B37" s="18"/>
      <c r="C37" s="18"/>
      <c r="D37" s="18"/>
      <c r="E37" s="19"/>
      <c r="F37" s="20"/>
      <c r="G37" s="20"/>
    </row>
    <row r="38" spans="2:15">
      <c r="E38" s="4"/>
    </row>
    <row r="39" spans="2:15">
      <c r="B39" s="295" t="s">
        <v>68</v>
      </c>
      <c r="C39" s="296"/>
      <c r="D39" s="296"/>
      <c r="E39" s="296"/>
      <c r="F39" s="296"/>
      <c r="G39" s="297"/>
    </row>
    <row r="40" spans="2:15">
      <c r="B40" s="34" t="s">
        <v>151</v>
      </c>
      <c r="C40" s="34" t="s">
        <v>88</v>
      </c>
      <c r="D40" s="34" t="s">
        <v>278</v>
      </c>
      <c r="E40" s="34" t="s">
        <v>151</v>
      </c>
      <c r="F40" s="34" t="s">
        <v>88</v>
      </c>
      <c r="G40" s="34" t="s">
        <v>278</v>
      </c>
    </row>
    <row r="41" spans="2:15" ht="15" customHeight="1">
      <c r="B41" s="322" t="s">
        <v>385</v>
      </c>
      <c r="C41" s="314" t="s">
        <v>76</v>
      </c>
      <c r="D41" s="314">
        <v>860.54</v>
      </c>
      <c r="E41" s="101" t="s">
        <v>387</v>
      </c>
      <c r="F41" s="16" t="s">
        <v>77</v>
      </c>
      <c r="G41" s="9">
        <v>8480</v>
      </c>
    </row>
    <row r="42" spans="2:15">
      <c r="B42" s="322"/>
      <c r="C42" s="315"/>
      <c r="D42" s="315"/>
      <c r="E42" s="101" t="s">
        <v>388</v>
      </c>
      <c r="F42" s="17" t="s">
        <v>78</v>
      </c>
      <c r="G42" s="9">
        <v>9510</v>
      </c>
    </row>
    <row r="43" spans="2:15" ht="30">
      <c r="B43" s="101" t="s">
        <v>386</v>
      </c>
      <c r="C43" s="27" t="s">
        <v>82</v>
      </c>
      <c r="D43" s="35">
        <v>50.1</v>
      </c>
      <c r="E43" s="15"/>
      <c r="F43" s="17"/>
      <c r="G43" s="9"/>
    </row>
    <row r="44" spans="2:15">
      <c r="B44" s="24"/>
      <c r="C44" s="25"/>
      <c r="D44" s="25"/>
      <c r="E44" s="24"/>
      <c r="F44" s="26"/>
      <c r="G44" s="28"/>
    </row>
    <row r="45" spans="2:15">
      <c r="B45" s="24"/>
      <c r="C45" s="25"/>
      <c r="D45" s="25"/>
      <c r="E45" s="24"/>
      <c r="F45" s="26"/>
      <c r="G45" s="28"/>
      <c r="M45" s="2"/>
      <c r="N45" s="2"/>
      <c r="O45" s="2"/>
    </row>
    <row r="46" spans="2:15" ht="15" customHeight="1">
      <c r="B46" s="294" t="s">
        <v>67</v>
      </c>
      <c r="C46" s="294"/>
      <c r="D46" s="294"/>
      <c r="E46" s="294"/>
      <c r="F46" s="294"/>
      <c r="G46" s="294"/>
      <c r="M46" s="300"/>
      <c r="N46" s="301"/>
      <c r="O46" s="29"/>
    </row>
    <row r="47" spans="2:15" ht="15" customHeight="1">
      <c r="B47" s="34" t="s">
        <v>151</v>
      </c>
      <c r="C47" s="34" t="s">
        <v>88</v>
      </c>
      <c r="D47" s="34" t="s">
        <v>278</v>
      </c>
      <c r="E47" s="34" t="s">
        <v>151</v>
      </c>
      <c r="F47" s="34" t="s">
        <v>88</v>
      </c>
      <c r="G47" s="34" t="s">
        <v>278</v>
      </c>
      <c r="M47" s="300"/>
      <c r="N47" s="301"/>
      <c r="O47" s="29"/>
    </row>
    <row r="48" spans="2:15" ht="15" customHeight="1">
      <c r="B48" s="304" t="s">
        <v>389</v>
      </c>
      <c r="C48" s="302" t="s">
        <v>83</v>
      </c>
      <c r="D48" s="302">
        <v>1799.99</v>
      </c>
      <c r="E48" s="101" t="s">
        <v>390</v>
      </c>
      <c r="F48" s="32" t="s">
        <v>84</v>
      </c>
      <c r="G48" s="9">
        <v>3000</v>
      </c>
      <c r="M48" s="300"/>
      <c r="N48" s="301"/>
      <c r="O48" s="29"/>
    </row>
    <row r="49" spans="2:15" ht="15" customHeight="1">
      <c r="B49" s="305"/>
      <c r="C49" s="303"/>
      <c r="D49" s="306"/>
      <c r="E49" s="101" t="s">
        <v>391</v>
      </c>
      <c r="F49" s="32" t="s">
        <v>85</v>
      </c>
      <c r="G49" s="9">
        <v>840</v>
      </c>
      <c r="M49" s="300"/>
      <c r="N49" s="301"/>
      <c r="O49" s="29"/>
    </row>
    <row r="50" spans="2:15" ht="15" customHeight="1">
      <c r="B50" s="305"/>
      <c r="C50" s="303"/>
      <c r="D50" s="306"/>
      <c r="E50" s="101" t="s">
        <v>392</v>
      </c>
      <c r="F50" s="32" t="s">
        <v>86</v>
      </c>
      <c r="G50" s="9">
        <v>0</v>
      </c>
      <c r="M50" s="300"/>
      <c r="N50" s="301"/>
      <c r="O50" s="29"/>
    </row>
    <row r="51" spans="2:15" ht="15" customHeight="1">
      <c r="B51" s="305"/>
      <c r="C51" s="303"/>
      <c r="D51" s="306"/>
      <c r="E51" s="101" t="s">
        <v>393</v>
      </c>
      <c r="F51" s="107" t="s">
        <v>395</v>
      </c>
      <c r="G51" s="9">
        <v>70</v>
      </c>
      <c r="M51" s="300"/>
      <c r="N51" s="301"/>
      <c r="O51" s="29"/>
    </row>
    <row r="52" spans="2:15" ht="30">
      <c r="B52" s="303"/>
      <c r="C52" s="303"/>
      <c r="D52" s="307"/>
      <c r="E52" s="101" t="s">
        <v>394</v>
      </c>
      <c r="F52" s="33" t="s">
        <v>87</v>
      </c>
      <c r="G52" s="9">
        <v>0</v>
      </c>
      <c r="M52" s="2"/>
      <c r="N52" s="2"/>
      <c r="O52" s="2"/>
    </row>
    <row r="53" spans="2:15">
      <c r="B53" s="30"/>
      <c r="C53" s="30"/>
      <c r="D53" s="30"/>
      <c r="E53" s="30"/>
      <c r="F53" s="31"/>
      <c r="G53" s="10"/>
    </row>
    <row r="54" spans="2:15">
      <c r="B54" s="10"/>
      <c r="C54" s="10"/>
      <c r="D54" s="10"/>
      <c r="E54" s="10"/>
      <c r="F54" s="29"/>
      <c r="G54" s="10"/>
    </row>
    <row r="55" spans="2:15">
      <c r="B55" s="10"/>
      <c r="C55" s="10"/>
      <c r="D55" s="10"/>
      <c r="E55" s="10"/>
      <c r="F55" s="29"/>
      <c r="G55" s="10"/>
    </row>
    <row r="56" spans="2:15">
      <c r="B56" s="10"/>
      <c r="C56" s="10"/>
      <c r="D56" s="10"/>
      <c r="E56" s="10"/>
      <c r="F56" s="29"/>
      <c r="G56" s="10"/>
    </row>
    <row r="57" spans="2:15">
      <c r="B57" s="10"/>
      <c r="C57" s="10"/>
      <c r="D57" s="10"/>
      <c r="E57" s="10"/>
      <c r="F57" s="29"/>
      <c r="G57" s="10"/>
    </row>
    <row r="58" spans="2:15">
      <c r="B58" s="10"/>
      <c r="C58" s="10"/>
      <c r="D58" s="10"/>
      <c r="E58" s="10"/>
      <c r="F58" s="29"/>
      <c r="G58" s="10"/>
    </row>
  </sheetData>
  <mergeCells count="28">
    <mergeCell ref="B48:B52"/>
    <mergeCell ref="D48:D52"/>
    <mergeCell ref="B12:F12"/>
    <mergeCell ref="B13:F13"/>
    <mergeCell ref="B11:F11"/>
    <mergeCell ref="B20:B22"/>
    <mergeCell ref="B16:F16"/>
    <mergeCell ref="D41:D42"/>
    <mergeCell ref="D20:D22"/>
    <mergeCell ref="D27:D29"/>
    <mergeCell ref="D34:D36"/>
    <mergeCell ref="C20:C22"/>
    <mergeCell ref="B27:B29"/>
    <mergeCell ref="C27:C29"/>
    <mergeCell ref="B41:B42"/>
    <mergeCell ref="C41:C42"/>
    <mergeCell ref="M46:M48"/>
    <mergeCell ref="N46:N48"/>
    <mergeCell ref="M49:M51"/>
    <mergeCell ref="N49:N51"/>
    <mergeCell ref="C48:C52"/>
    <mergeCell ref="B25:G25"/>
    <mergeCell ref="B18:G18"/>
    <mergeCell ref="B34:B36"/>
    <mergeCell ref="C34:C36"/>
    <mergeCell ref="B46:G46"/>
    <mergeCell ref="B32:G32"/>
    <mergeCell ref="B39:G3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2:F49"/>
  <sheetViews>
    <sheetView workbookViewId="0">
      <selection activeCell="G12" sqref="G12"/>
    </sheetView>
  </sheetViews>
  <sheetFormatPr defaultColWidth="8.85546875" defaultRowHeight="15"/>
  <cols>
    <col min="2" max="2" width="16.28515625" customWidth="1"/>
    <col min="3" max="3" width="68.7109375" customWidth="1"/>
    <col min="4" max="4" width="14" customWidth="1"/>
  </cols>
  <sheetData>
    <row r="2" spans="2:6">
      <c r="B2" s="323" t="s">
        <v>397</v>
      </c>
      <c r="C2" s="323"/>
      <c r="D2" s="323"/>
      <c r="F2" s="103"/>
    </row>
    <row r="3" spans="2:6">
      <c r="B3" s="324" t="s">
        <v>396</v>
      </c>
      <c r="C3" s="324"/>
      <c r="D3" s="324"/>
    </row>
    <row r="4" spans="2:6">
      <c r="B4" s="324" t="s">
        <v>398</v>
      </c>
      <c r="C4" s="324"/>
      <c r="D4" s="324"/>
    </row>
    <row r="5" spans="2:6">
      <c r="B5" s="324" t="s">
        <v>399</v>
      </c>
      <c r="C5" s="324"/>
      <c r="D5" s="324"/>
    </row>
    <row r="7" spans="2:6">
      <c r="B7" s="294" t="s">
        <v>4</v>
      </c>
      <c r="C7" s="294"/>
      <c r="D7" s="294"/>
    </row>
    <row r="8" spans="2:6">
      <c r="B8" s="36" t="s">
        <v>151</v>
      </c>
      <c r="C8" s="36" t="s">
        <v>88</v>
      </c>
      <c r="D8" s="36" t="s">
        <v>89</v>
      </c>
    </row>
    <row r="9" spans="2:6">
      <c r="B9" s="8" t="s">
        <v>103</v>
      </c>
      <c r="C9" s="8" t="s">
        <v>334</v>
      </c>
      <c r="D9" s="8">
        <f>Inputs!D8+Inputs!D9</f>
        <v>29276</v>
      </c>
    </row>
    <row r="10" spans="2:6">
      <c r="B10" s="2"/>
      <c r="C10" s="2"/>
      <c r="D10" s="20"/>
    </row>
    <row r="12" spans="2:6">
      <c r="B12" s="294" t="s">
        <v>279</v>
      </c>
      <c r="C12" s="294"/>
      <c r="D12" s="294"/>
    </row>
    <row r="13" spans="2:6">
      <c r="B13" s="36" t="s">
        <v>151</v>
      </c>
      <c r="C13" s="36" t="s">
        <v>88</v>
      </c>
      <c r="D13" s="36" t="s">
        <v>89</v>
      </c>
    </row>
    <row r="14" spans="2:6">
      <c r="B14" s="8" t="s">
        <v>106</v>
      </c>
      <c r="C14" s="8" t="s">
        <v>332</v>
      </c>
      <c r="D14" s="8">
        <f>(Inputs!D20*Assumptions!E61)+(Inputs!D21*Assumptions!E62)+(Inputs!D22*Assumptions!E63)</f>
        <v>506250</v>
      </c>
    </row>
    <row r="15" spans="2:6">
      <c r="B15" s="8" t="s">
        <v>107</v>
      </c>
      <c r="C15" s="8" t="s">
        <v>333</v>
      </c>
      <c r="D15" s="8">
        <f>(Inputs!D23*Assumptions!E64)+(Inputs!D24*Assumptions!E65)+(Inputs!D25*Assumptions!E66)</f>
        <v>42352</v>
      </c>
    </row>
    <row r="16" spans="2:6">
      <c r="B16" s="2"/>
    </row>
    <row r="18" spans="2:4">
      <c r="B18" s="294" t="s">
        <v>280</v>
      </c>
      <c r="C18" s="294"/>
      <c r="D18" s="294"/>
    </row>
    <row r="19" spans="2:4">
      <c r="B19" s="36" t="s">
        <v>151</v>
      </c>
      <c r="C19" s="36" t="s">
        <v>88</v>
      </c>
      <c r="D19" s="36" t="s">
        <v>89</v>
      </c>
    </row>
    <row r="20" spans="2:4">
      <c r="B20" s="8" t="s">
        <v>108</v>
      </c>
      <c r="C20" s="8" t="s">
        <v>335</v>
      </c>
      <c r="D20" s="8">
        <f>(Inputs!D30*Assumptions!E85)+(Inputs!D31*Assumptions!E86)*(Inputs!D32*Assumptions!E87)</f>
        <v>343432324</v>
      </c>
    </row>
    <row r="23" spans="2:4">
      <c r="B23" s="294" t="s">
        <v>281</v>
      </c>
      <c r="C23" s="294"/>
      <c r="D23" s="294"/>
    </row>
    <row r="24" spans="2:4">
      <c r="B24" s="36" t="s">
        <v>151</v>
      </c>
      <c r="C24" s="36" t="s">
        <v>88</v>
      </c>
      <c r="D24" s="36" t="s">
        <v>89</v>
      </c>
    </row>
    <row r="25" spans="2:4">
      <c r="B25" s="8" t="s">
        <v>109</v>
      </c>
      <c r="C25" s="8" t="s">
        <v>350</v>
      </c>
      <c r="D25" s="8">
        <f>Inputs!D37</f>
        <v>705.18818999999996</v>
      </c>
    </row>
    <row r="28" spans="2:4">
      <c r="B28" s="294" t="s">
        <v>238</v>
      </c>
      <c r="C28" s="294"/>
      <c r="D28" s="294"/>
    </row>
    <row r="29" spans="2:4">
      <c r="B29" s="36" t="s">
        <v>151</v>
      </c>
      <c r="C29" s="36" t="s">
        <v>88</v>
      </c>
      <c r="D29" s="36" t="s">
        <v>89</v>
      </c>
    </row>
    <row r="30" spans="2:4">
      <c r="B30" s="8" t="s">
        <v>110</v>
      </c>
      <c r="C30" s="8" t="s">
        <v>338</v>
      </c>
      <c r="D30" s="8">
        <f>'Ecological Footprint'!E61+'Ecological Footprint'!E62</f>
        <v>112820843.19999999</v>
      </c>
    </row>
    <row r="31" spans="2:4">
      <c r="B31" s="8" t="s">
        <v>111</v>
      </c>
      <c r="C31" s="8" t="s">
        <v>339</v>
      </c>
      <c r="D31" s="8">
        <f>'Ecological Footprint'!E59</f>
        <v>31485000</v>
      </c>
    </row>
    <row r="32" spans="2:4">
      <c r="B32" s="8" t="s">
        <v>235</v>
      </c>
      <c r="C32" s="37" t="s">
        <v>340</v>
      </c>
      <c r="D32" s="8">
        <f>'Ecological Footprint'!E60</f>
        <v>35540763.799999997</v>
      </c>
    </row>
    <row r="35" spans="2:4">
      <c r="B35" s="294" t="s">
        <v>282</v>
      </c>
      <c r="C35" s="294"/>
      <c r="D35" s="294"/>
    </row>
    <row r="36" spans="2:4">
      <c r="B36" s="36" t="s">
        <v>151</v>
      </c>
      <c r="C36" s="36" t="s">
        <v>88</v>
      </c>
      <c r="D36" s="36" t="s">
        <v>89</v>
      </c>
    </row>
    <row r="37" spans="2:4">
      <c r="B37" s="8" t="s">
        <v>112</v>
      </c>
      <c r="C37" s="8" t="s">
        <v>341</v>
      </c>
      <c r="D37" s="8">
        <f>'Ecological Footprint'!E68+'Ecological Footprint'!E69</f>
        <v>540000</v>
      </c>
    </row>
    <row r="38" spans="2:4">
      <c r="B38" s="8" t="s">
        <v>113</v>
      </c>
      <c r="C38" s="8" t="s">
        <v>342</v>
      </c>
      <c r="D38" s="8">
        <f>'Ecological Footprint'!E66</f>
        <v>52500</v>
      </c>
    </row>
    <row r="39" spans="2:4">
      <c r="B39" s="8" t="s">
        <v>261</v>
      </c>
      <c r="C39" s="37" t="s">
        <v>343</v>
      </c>
      <c r="D39" s="8">
        <f>'Ecological Footprint'!E67</f>
        <v>937500</v>
      </c>
    </row>
    <row r="40" spans="2:4">
      <c r="B40" s="8" t="s">
        <v>262</v>
      </c>
      <c r="C40" s="37" t="s">
        <v>344</v>
      </c>
      <c r="D40" s="8">
        <f>'Ecological Footprint'!E70</f>
        <v>924662.4</v>
      </c>
    </row>
    <row r="41" spans="2:4">
      <c r="B41" s="8" t="s">
        <v>263</v>
      </c>
      <c r="C41" s="8" t="s">
        <v>56</v>
      </c>
      <c r="D41" s="8">
        <f>'Ecological Footprint'!E71</f>
        <v>1533000</v>
      </c>
    </row>
    <row r="42" spans="2:4">
      <c r="B42" s="8" t="s">
        <v>267</v>
      </c>
      <c r="C42" s="8" t="s">
        <v>336</v>
      </c>
      <c r="D42" s="8">
        <f>'Ecological Footprint'!E72+'Ecological Footprint'!E73</f>
        <v>2511403.0496908003</v>
      </c>
    </row>
    <row r="43" spans="2:4">
      <c r="B43" s="8" t="s">
        <v>268</v>
      </c>
      <c r="C43" s="8" t="s">
        <v>59</v>
      </c>
      <c r="D43" s="8">
        <f>'Ecological Footprint'!E74</f>
        <v>4851199.176</v>
      </c>
    </row>
    <row r="44" spans="2:4">
      <c r="B44" s="8" t="s">
        <v>269</v>
      </c>
      <c r="C44" s="8" t="s">
        <v>60</v>
      </c>
      <c r="D44" s="8">
        <f>'Ecological Footprint'!E75</f>
        <v>7259.84</v>
      </c>
    </row>
    <row r="47" spans="2:4">
      <c r="B47" s="294" t="s">
        <v>10</v>
      </c>
      <c r="C47" s="294"/>
      <c r="D47" s="294"/>
    </row>
    <row r="48" spans="2:4">
      <c r="B48" s="36" t="s">
        <v>151</v>
      </c>
      <c r="C48" s="36" t="s">
        <v>88</v>
      </c>
      <c r="D48" s="36" t="s">
        <v>89</v>
      </c>
    </row>
    <row r="49" spans="2:4">
      <c r="B49" s="8" t="s">
        <v>114</v>
      </c>
      <c r="C49" s="8" t="s">
        <v>337</v>
      </c>
      <c r="D49" s="8">
        <f>Inputs!D75+Inputs!D76</f>
        <v>25263</v>
      </c>
    </row>
  </sheetData>
  <mergeCells count="11">
    <mergeCell ref="B12:D12"/>
    <mergeCell ref="B2:D2"/>
    <mergeCell ref="B3:D3"/>
    <mergeCell ref="B4:D4"/>
    <mergeCell ref="B5:D5"/>
    <mergeCell ref="B7:D7"/>
    <mergeCell ref="B18:D18"/>
    <mergeCell ref="B23:D23"/>
    <mergeCell ref="B28:D28"/>
    <mergeCell ref="B35:D35"/>
    <mergeCell ref="B47:D4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51"/>
  <sheetViews>
    <sheetView zoomScalePageLayoutView="140" workbookViewId="0">
      <selection activeCell="C39" sqref="C39"/>
    </sheetView>
  </sheetViews>
  <sheetFormatPr defaultColWidth="8.85546875" defaultRowHeight="15"/>
  <cols>
    <col min="1" max="1" width="19" customWidth="1"/>
    <col min="2" max="2" width="17.42578125" customWidth="1"/>
    <col min="3" max="3" width="50.42578125" customWidth="1"/>
    <col min="4" max="4" width="18.7109375" customWidth="1"/>
    <col min="5" max="5" width="16.7109375" customWidth="1"/>
    <col min="6" max="6" width="24" customWidth="1"/>
    <col min="7" max="7" width="21.42578125" customWidth="1"/>
    <col min="8" max="8" width="28" customWidth="1"/>
    <col min="9" max="9" width="27.28515625" customWidth="1"/>
    <col min="10" max="10" width="22.42578125" customWidth="1"/>
  </cols>
  <sheetData>
    <row r="1" spans="1:10">
      <c r="C1" s="266" t="s">
        <v>360</v>
      </c>
      <c r="D1" s="267"/>
      <c r="E1" s="267"/>
    </row>
    <row r="2" spans="1:10" ht="18.75">
      <c r="C2" s="325" t="s">
        <v>362</v>
      </c>
      <c r="D2" s="267"/>
      <c r="E2" s="267"/>
      <c r="G2" s="111" t="s">
        <v>401</v>
      </c>
    </row>
    <row r="3" spans="1:10">
      <c r="C3" s="325" t="s">
        <v>353</v>
      </c>
      <c r="D3" s="267"/>
      <c r="E3" s="267"/>
    </row>
    <row r="4" spans="1:10">
      <c r="C4" s="325" t="s">
        <v>354</v>
      </c>
      <c r="D4" s="267"/>
      <c r="E4" s="267"/>
    </row>
    <row r="5" spans="1:10">
      <c r="C5" s="325" t="s">
        <v>400</v>
      </c>
      <c r="D5" s="267"/>
      <c r="E5" s="267"/>
    </row>
    <row r="6" spans="1:10">
      <c r="C6" s="97"/>
      <c r="D6" s="87"/>
      <c r="E6" s="87"/>
    </row>
    <row r="7" spans="1:10">
      <c r="A7" s="8"/>
      <c r="B7" s="331" t="s">
        <v>244</v>
      </c>
      <c r="C7" s="331"/>
      <c r="D7" s="331" t="s">
        <v>239</v>
      </c>
      <c r="E7" s="331"/>
      <c r="F7" s="331"/>
      <c r="G7" s="331"/>
      <c r="H7" s="331"/>
      <c r="I7" s="331"/>
      <c r="J7" s="331"/>
    </row>
    <row r="8" spans="1:10">
      <c r="A8" s="14" t="s">
        <v>243</v>
      </c>
      <c r="B8" s="95" t="s">
        <v>151</v>
      </c>
      <c r="C8" s="96" t="s">
        <v>88</v>
      </c>
      <c r="D8" s="94" t="s">
        <v>4</v>
      </c>
      <c r="E8" s="94" t="s">
        <v>5</v>
      </c>
      <c r="F8" s="94" t="s">
        <v>6</v>
      </c>
      <c r="G8" s="94" t="s">
        <v>7</v>
      </c>
      <c r="H8" s="94" t="s">
        <v>238</v>
      </c>
      <c r="I8" s="94" t="s">
        <v>9</v>
      </c>
      <c r="J8" s="94" t="s">
        <v>10</v>
      </c>
    </row>
    <row r="9" spans="1:10">
      <c r="A9" s="326" t="s">
        <v>125</v>
      </c>
      <c r="B9" s="90" t="s">
        <v>199</v>
      </c>
      <c r="C9" s="8" t="s">
        <v>11</v>
      </c>
      <c r="D9" s="92" t="s">
        <v>240</v>
      </c>
      <c r="E9" s="92"/>
      <c r="F9" s="92"/>
      <c r="G9" s="92"/>
      <c r="H9" s="92"/>
      <c r="I9" s="92"/>
      <c r="J9" s="92" t="s">
        <v>241</v>
      </c>
    </row>
    <row r="10" spans="1:10">
      <c r="A10" s="327"/>
      <c r="B10" s="90" t="s">
        <v>200</v>
      </c>
      <c r="C10" s="8" t="s">
        <v>26</v>
      </c>
      <c r="D10" s="92" t="s">
        <v>39</v>
      </c>
      <c r="E10" s="92"/>
      <c r="F10" s="92"/>
      <c r="G10" s="92"/>
      <c r="H10" s="92"/>
      <c r="I10" s="92"/>
      <c r="J10" s="92" t="s">
        <v>40</v>
      </c>
    </row>
    <row r="11" spans="1:10">
      <c r="A11" s="327"/>
      <c r="B11" s="90" t="s">
        <v>201</v>
      </c>
      <c r="C11" s="8" t="s">
        <v>12</v>
      </c>
      <c r="D11" s="92" t="s">
        <v>41</v>
      </c>
      <c r="E11" s="92"/>
      <c r="F11" s="92"/>
      <c r="G11" s="92"/>
      <c r="H11" s="92"/>
      <c r="I11" s="92"/>
      <c r="J11" s="92" t="s">
        <v>175</v>
      </c>
    </row>
    <row r="12" spans="1:10">
      <c r="A12" s="327"/>
      <c r="B12" s="90" t="s">
        <v>202</v>
      </c>
      <c r="C12" s="8" t="s">
        <v>16</v>
      </c>
      <c r="D12" s="92" t="s">
        <v>42</v>
      </c>
      <c r="E12" s="92"/>
      <c r="F12" s="92"/>
      <c r="G12" s="92"/>
      <c r="H12" s="92"/>
      <c r="I12" s="92"/>
      <c r="J12" s="92" t="s">
        <v>176</v>
      </c>
    </row>
    <row r="13" spans="1:10">
      <c r="A13" s="327"/>
      <c r="B13" s="90" t="s">
        <v>203</v>
      </c>
      <c r="C13" s="8" t="s">
        <v>17</v>
      </c>
      <c r="D13" s="92" t="s">
        <v>43</v>
      </c>
      <c r="E13" s="92"/>
      <c r="F13" s="92"/>
      <c r="G13" s="92"/>
      <c r="H13" s="92"/>
      <c r="I13" s="92"/>
      <c r="J13" s="92" t="s">
        <v>177</v>
      </c>
    </row>
    <row r="14" spans="1:10">
      <c r="A14" s="327"/>
      <c r="B14" s="90" t="s">
        <v>204</v>
      </c>
      <c r="C14" s="8" t="s">
        <v>23</v>
      </c>
      <c r="D14" s="92" t="s">
        <v>44</v>
      </c>
      <c r="E14" s="92"/>
      <c r="F14" s="92"/>
      <c r="G14" s="92"/>
      <c r="H14" s="92"/>
      <c r="I14" s="92"/>
      <c r="J14" s="92" t="s">
        <v>178</v>
      </c>
    </row>
    <row r="15" spans="1:10">
      <c r="A15" s="327"/>
      <c r="B15" s="90" t="s">
        <v>205</v>
      </c>
      <c r="C15" s="8" t="s">
        <v>423</v>
      </c>
      <c r="D15" s="92" t="s">
        <v>134</v>
      </c>
      <c r="E15" s="92"/>
      <c r="F15" s="92"/>
      <c r="G15" s="92"/>
      <c r="H15" s="92"/>
      <c r="I15" s="92"/>
      <c r="J15" s="92" t="s">
        <v>179</v>
      </c>
    </row>
    <row r="16" spans="1:10">
      <c r="A16" s="327"/>
      <c r="B16" s="90" t="s">
        <v>206</v>
      </c>
      <c r="C16" s="8" t="s">
        <v>27</v>
      </c>
      <c r="D16" s="92" t="s">
        <v>135</v>
      </c>
      <c r="E16" s="92"/>
      <c r="F16" s="92"/>
      <c r="G16" s="92"/>
      <c r="H16" s="92"/>
      <c r="I16" s="92"/>
      <c r="J16" s="92" t="s">
        <v>180</v>
      </c>
    </row>
    <row r="17" spans="1:10">
      <c r="A17" s="327"/>
      <c r="B17" s="90" t="s">
        <v>207</v>
      </c>
      <c r="C17" s="80" t="s">
        <v>25</v>
      </c>
      <c r="D17" s="92" t="s">
        <v>136</v>
      </c>
      <c r="E17" s="92"/>
      <c r="F17" s="92"/>
      <c r="G17" s="92"/>
      <c r="H17" s="92"/>
      <c r="I17" s="92"/>
      <c r="J17" s="92" t="s">
        <v>181</v>
      </c>
    </row>
    <row r="18" spans="1:10">
      <c r="A18" s="327"/>
      <c r="B18" s="90" t="s">
        <v>208</v>
      </c>
      <c r="C18" s="80" t="s">
        <v>119</v>
      </c>
      <c r="D18" s="92" t="s">
        <v>137</v>
      </c>
      <c r="E18" s="92"/>
      <c r="F18" s="92"/>
      <c r="G18" s="92"/>
      <c r="H18" s="92"/>
      <c r="I18" s="92"/>
      <c r="J18" s="92" t="s">
        <v>182</v>
      </c>
    </row>
    <row r="19" spans="1:10">
      <c r="A19" s="328"/>
      <c r="B19" s="90" t="s">
        <v>209</v>
      </c>
      <c r="C19" s="8" t="s">
        <v>28</v>
      </c>
      <c r="D19" s="92" t="s">
        <v>138</v>
      </c>
      <c r="E19" s="92"/>
      <c r="F19" s="92"/>
      <c r="G19" s="92"/>
      <c r="H19" s="92"/>
      <c r="I19" s="92"/>
      <c r="J19" s="92" t="s">
        <v>183</v>
      </c>
    </row>
    <row r="20" spans="1:10">
      <c r="A20" s="326" t="s">
        <v>128</v>
      </c>
      <c r="B20" s="91" t="s">
        <v>210</v>
      </c>
      <c r="C20" s="8" t="s">
        <v>18</v>
      </c>
      <c r="D20" s="93" t="s">
        <v>242</v>
      </c>
      <c r="E20" s="92"/>
      <c r="F20" s="92"/>
      <c r="G20" s="92"/>
      <c r="H20" s="92"/>
      <c r="I20" s="92"/>
      <c r="J20" s="93" t="s">
        <v>185</v>
      </c>
    </row>
    <row r="21" spans="1:10">
      <c r="A21" s="327"/>
      <c r="B21" s="91" t="s">
        <v>211</v>
      </c>
      <c r="C21" s="8" t="s">
        <v>117</v>
      </c>
      <c r="D21" s="93" t="s">
        <v>140</v>
      </c>
      <c r="E21" s="92"/>
      <c r="F21" s="92"/>
      <c r="G21" s="92"/>
      <c r="H21" s="92"/>
      <c r="I21" s="92"/>
      <c r="J21" s="93" t="s">
        <v>186</v>
      </c>
    </row>
    <row r="22" spans="1:10">
      <c r="A22" s="327"/>
      <c r="B22" s="91" t="s">
        <v>212</v>
      </c>
      <c r="C22" s="8" t="s">
        <v>118</v>
      </c>
      <c r="D22" s="93" t="s">
        <v>141</v>
      </c>
      <c r="E22" s="92"/>
      <c r="F22" s="92"/>
      <c r="G22" s="92"/>
      <c r="H22" s="92"/>
      <c r="I22" s="92"/>
      <c r="J22" s="93" t="s">
        <v>142</v>
      </c>
    </row>
    <row r="23" spans="1:10">
      <c r="A23" s="327"/>
      <c r="B23" s="91" t="s">
        <v>213</v>
      </c>
      <c r="C23" s="8" t="s">
        <v>19</v>
      </c>
      <c r="D23" s="93" t="s">
        <v>45</v>
      </c>
      <c r="E23" s="92"/>
      <c r="F23" s="92"/>
      <c r="G23" s="92"/>
      <c r="H23" s="92"/>
      <c r="I23" s="92"/>
      <c r="J23" s="93" t="s">
        <v>187</v>
      </c>
    </row>
    <row r="24" spans="1:10">
      <c r="A24" s="327"/>
      <c r="B24" s="91" t="s">
        <v>214</v>
      </c>
      <c r="C24" s="8" t="s">
        <v>20</v>
      </c>
      <c r="D24" s="93" t="s">
        <v>46</v>
      </c>
      <c r="E24" s="92"/>
      <c r="F24" s="92"/>
      <c r="G24" s="92"/>
      <c r="H24" s="92"/>
      <c r="I24" s="92"/>
      <c r="J24" s="93" t="s">
        <v>188</v>
      </c>
    </row>
    <row r="25" spans="1:10">
      <c r="A25" s="327"/>
      <c r="B25" s="91" t="s">
        <v>215</v>
      </c>
      <c r="C25" s="8" t="s">
        <v>14</v>
      </c>
      <c r="D25" s="93" t="s">
        <v>143</v>
      </c>
      <c r="E25" s="92"/>
      <c r="F25" s="92"/>
      <c r="G25" s="92"/>
      <c r="H25" s="92"/>
      <c r="I25" s="92"/>
      <c r="J25" s="93" t="s">
        <v>189</v>
      </c>
    </row>
    <row r="26" spans="1:10">
      <c r="A26" s="327"/>
      <c r="B26" s="91" t="s">
        <v>234</v>
      </c>
      <c r="C26" s="8" t="s">
        <v>15</v>
      </c>
      <c r="D26" s="93" t="s">
        <v>144</v>
      </c>
      <c r="E26" s="92"/>
      <c r="F26" s="92"/>
      <c r="G26" s="92"/>
      <c r="H26" s="92"/>
      <c r="I26" s="92"/>
      <c r="J26" s="93" t="s">
        <v>190</v>
      </c>
    </row>
    <row r="27" spans="1:10">
      <c r="A27" s="328"/>
      <c r="B27" s="91" t="s">
        <v>216</v>
      </c>
      <c r="C27" s="8" t="s">
        <v>13</v>
      </c>
      <c r="D27" s="93" t="s">
        <v>145</v>
      </c>
      <c r="E27" s="92"/>
      <c r="F27" s="92"/>
      <c r="G27" s="92"/>
      <c r="H27" s="92"/>
      <c r="I27" s="92"/>
      <c r="J27" s="93" t="s">
        <v>191</v>
      </c>
    </row>
    <row r="28" spans="1:10" ht="24" customHeight="1">
      <c r="A28" s="326" t="s">
        <v>405</v>
      </c>
      <c r="B28" s="91" t="s">
        <v>218</v>
      </c>
      <c r="C28" s="8" t="s">
        <v>21</v>
      </c>
      <c r="D28" s="93" t="s">
        <v>146</v>
      </c>
      <c r="E28" s="92"/>
      <c r="F28" s="92"/>
      <c r="G28" s="92"/>
      <c r="H28" s="92"/>
      <c r="I28" s="92"/>
      <c r="J28" s="93" t="s">
        <v>192</v>
      </c>
    </row>
    <row r="29" spans="1:10" ht="24" customHeight="1">
      <c r="A29" s="328"/>
      <c r="B29" s="91" t="s">
        <v>219</v>
      </c>
      <c r="C29" s="8" t="s">
        <v>22</v>
      </c>
      <c r="D29" s="93" t="s">
        <v>147</v>
      </c>
      <c r="E29" s="92"/>
      <c r="F29" s="92"/>
      <c r="G29" s="92"/>
      <c r="H29" s="92"/>
      <c r="I29" s="92"/>
      <c r="J29" s="93" t="s">
        <v>193</v>
      </c>
    </row>
    <row r="30" spans="1:10" ht="24" customHeight="1">
      <c r="A30" s="116" t="s">
        <v>129</v>
      </c>
      <c r="B30" s="91" t="s">
        <v>220</v>
      </c>
      <c r="C30" s="80" t="s">
        <v>24</v>
      </c>
      <c r="D30" s="93" t="s">
        <v>148</v>
      </c>
      <c r="E30" s="93"/>
      <c r="F30" s="93"/>
      <c r="G30" s="92"/>
      <c r="H30" s="92"/>
      <c r="I30" s="92"/>
      <c r="J30" s="93"/>
    </row>
    <row r="31" spans="1:10">
      <c r="A31" s="326" t="s">
        <v>130</v>
      </c>
      <c r="B31" s="91" t="s">
        <v>221</v>
      </c>
      <c r="C31" s="8" t="s">
        <v>31</v>
      </c>
      <c r="D31" s="93" t="s">
        <v>149</v>
      </c>
      <c r="E31" s="93" t="s">
        <v>153</v>
      </c>
      <c r="F31" s="93" t="s">
        <v>155</v>
      </c>
      <c r="G31" s="93" t="s">
        <v>157</v>
      </c>
      <c r="H31" s="92"/>
      <c r="I31" s="92"/>
      <c r="J31" s="93" t="s">
        <v>194</v>
      </c>
    </row>
    <row r="32" spans="1:10">
      <c r="A32" s="327"/>
      <c r="B32" s="91" t="s">
        <v>222</v>
      </c>
      <c r="C32" s="8" t="s">
        <v>32</v>
      </c>
      <c r="D32" s="93" t="s">
        <v>150</v>
      </c>
      <c r="E32" s="93" t="s">
        <v>154</v>
      </c>
      <c r="F32" s="93" t="s">
        <v>156</v>
      </c>
      <c r="G32" s="92"/>
      <c r="H32" s="92"/>
      <c r="I32" s="92"/>
      <c r="J32" s="93" t="s">
        <v>195</v>
      </c>
    </row>
    <row r="33" spans="1:10">
      <c r="A33" s="329"/>
      <c r="B33" s="91" t="s">
        <v>223</v>
      </c>
      <c r="C33" s="8" t="s">
        <v>120</v>
      </c>
      <c r="D33" s="92"/>
      <c r="E33" s="92"/>
      <c r="F33" s="92"/>
      <c r="G33" s="92"/>
      <c r="H33" s="93" t="s">
        <v>158</v>
      </c>
      <c r="I33" s="93" t="s">
        <v>161</v>
      </c>
      <c r="J33" s="92"/>
    </row>
    <row r="34" spans="1:10">
      <c r="A34" s="329"/>
      <c r="B34" s="91" t="s">
        <v>224</v>
      </c>
      <c r="C34" s="8" t="s">
        <v>121</v>
      </c>
      <c r="D34" s="92"/>
      <c r="E34" s="92"/>
      <c r="F34" s="92"/>
      <c r="G34" s="92"/>
      <c r="H34" s="93" t="s">
        <v>159</v>
      </c>
      <c r="I34" s="93" t="s">
        <v>162</v>
      </c>
      <c r="J34" s="92"/>
    </row>
    <row r="35" spans="1:10">
      <c r="A35" s="329"/>
      <c r="B35" s="91" t="s">
        <v>225</v>
      </c>
      <c r="C35" s="8" t="s">
        <v>122</v>
      </c>
      <c r="D35" s="92"/>
      <c r="E35" s="92"/>
      <c r="F35" s="92"/>
      <c r="G35" s="92"/>
      <c r="H35" s="93" t="s">
        <v>48</v>
      </c>
      <c r="I35" s="93" t="s">
        <v>163</v>
      </c>
      <c r="J35" s="92"/>
    </row>
    <row r="36" spans="1:10">
      <c r="A36" s="329"/>
      <c r="B36" s="91" t="s">
        <v>226</v>
      </c>
      <c r="C36" s="8" t="s">
        <v>123</v>
      </c>
      <c r="D36" s="92"/>
      <c r="E36" s="92"/>
      <c r="F36" s="92"/>
      <c r="G36" s="92"/>
      <c r="H36" s="93" t="s">
        <v>160</v>
      </c>
      <c r="I36" s="93" t="s">
        <v>164</v>
      </c>
      <c r="J36" s="92"/>
    </row>
    <row r="37" spans="1:10">
      <c r="A37" s="329"/>
      <c r="B37" s="91" t="s">
        <v>227</v>
      </c>
      <c r="C37" s="8" t="s">
        <v>237</v>
      </c>
      <c r="D37" s="92"/>
      <c r="E37" s="92"/>
      <c r="F37" s="92"/>
      <c r="G37" s="92"/>
      <c r="H37" s="92"/>
      <c r="I37" s="93" t="s">
        <v>165</v>
      </c>
      <c r="J37" s="92"/>
    </row>
    <row r="38" spans="1:10">
      <c r="A38" s="329"/>
      <c r="B38" s="91" t="s">
        <v>228</v>
      </c>
      <c r="C38" s="8" t="s">
        <v>56</v>
      </c>
      <c r="D38" s="92"/>
      <c r="E38" s="92"/>
      <c r="F38" s="92"/>
      <c r="G38" s="92"/>
      <c r="H38" s="92"/>
      <c r="I38" s="93" t="s">
        <v>166</v>
      </c>
      <c r="J38" s="92"/>
    </row>
    <row r="39" spans="1:10">
      <c r="A39" s="329"/>
      <c r="B39" s="91" t="s">
        <v>229</v>
      </c>
      <c r="C39" s="8" t="s">
        <v>58</v>
      </c>
      <c r="D39" s="92"/>
      <c r="E39" s="92"/>
      <c r="F39" s="92"/>
      <c r="G39" s="92"/>
      <c r="H39" s="92"/>
      <c r="I39" s="93" t="s">
        <v>167</v>
      </c>
      <c r="J39" s="92"/>
    </row>
    <row r="40" spans="1:10">
      <c r="A40" s="329"/>
      <c r="B40" s="91" t="s">
        <v>230</v>
      </c>
      <c r="C40" s="8" t="s">
        <v>57</v>
      </c>
      <c r="D40" s="92"/>
      <c r="E40" s="92"/>
      <c r="F40" s="92"/>
      <c r="G40" s="92"/>
      <c r="H40" s="92"/>
      <c r="I40" s="93" t="s">
        <v>168</v>
      </c>
      <c r="J40" s="92"/>
    </row>
    <row r="41" spans="1:10">
      <c r="A41" s="329"/>
      <c r="B41" s="91" t="s">
        <v>231</v>
      </c>
      <c r="C41" s="8" t="s">
        <v>59</v>
      </c>
      <c r="D41" s="92"/>
      <c r="E41" s="92"/>
      <c r="F41" s="92"/>
      <c r="G41" s="92"/>
      <c r="H41" s="92"/>
      <c r="I41" s="93" t="s">
        <v>169</v>
      </c>
      <c r="J41" s="92"/>
    </row>
    <row r="42" spans="1:10">
      <c r="A42" s="330"/>
      <c r="B42" s="91" t="s">
        <v>232</v>
      </c>
      <c r="C42" s="8" t="s">
        <v>60</v>
      </c>
      <c r="D42" s="92"/>
      <c r="E42" s="92"/>
      <c r="F42" s="92"/>
      <c r="G42" s="92"/>
      <c r="H42" s="92"/>
      <c r="I42" s="93" t="s">
        <v>170</v>
      </c>
      <c r="J42" s="92"/>
    </row>
    <row r="51" spans="3:3">
      <c r="C51" s="88"/>
    </row>
  </sheetData>
  <mergeCells count="11">
    <mergeCell ref="A9:A19"/>
    <mergeCell ref="A20:A27"/>
    <mergeCell ref="A28:A29"/>
    <mergeCell ref="A31:A42"/>
    <mergeCell ref="D7:J7"/>
    <mergeCell ref="B7:C7"/>
    <mergeCell ref="C1:E1"/>
    <mergeCell ref="C2:E2"/>
    <mergeCell ref="C3:E3"/>
    <mergeCell ref="C4:E4"/>
    <mergeCell ref="C5: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B1:F79"/>
  <sheetViews>
    <sheetView topLeftCell="A46" workbookViewId="0">
      <selection activeCell="J56" sqref="J56"/>
    </sheetView>
  </sheetViews>
  <sheetFormatPr defaultColWidth="8.85546875" defaultRowHeight="15"/>
  <cols>
    <col min="2" max="2" width="15.85546875" customWidth="1"/>
    <col min="3" max="3" width="68.42578125" customWidth="1"/>
    <col min="4" max="5" width="13" customWidth="1"/>
  </cols>
  <sheetData>
    <row r="1" spans="2:6">
      <c r="B1" s="323" t="s">
        <v>403</v>
      </c>
      <c r="C1" s="323"/>
      <c r="D1" s="323"/>
    </row>
    <row r="2" spans="2:6" ht="15.75">
      <c r="B2" s="332" t="s">
        <v>404</v>
      </c>
      <c r="C2" s="332"/>
      <c r="D2" s="332"/>
      <c r="F2" s="110" t="s">
        <v>663</v>
      </c>
    </row>
    <row r="3" spans="2:6">
      <c r="B3" s="332" t="s">
        <v>354</v>
      </c>
      <c r="C3" s="332"/>
      <c r="D3" s="332"/>
      <c r="F3" s="112" t="s">
        <v>402</v>
      </c>
    </row>
    <row r="6" spans="2:6">
      <c r="B6" s="294" t="s">
        <v>4</v>
      </c>
      <c r="C6" s="294"/>
      <c r="D6" s="294"/>
    </row>
    <row r="7" spans="2:6">
      <c r="B7" s="36" t="s">
        <v>283</v>
      </c>
      <c r="C7" s="36" t="s">
        <v>88</v>
      </c>
      <c r="D7" s="113" t="s">
        <v>89</v>
      </c>
    </row>
    <row r="8" spans="2:6">
      <c r="B8" s="8" t="s">
        <v>284</v>
      </c>
      <c r="C8" s="8" t="s">
        <v>104</v>
      </c>
      <c r="D8" s="114">
        <v>23249</v>
      </c>
    </row>
    <row r="9" spans="2:6">
      <c r="B9" s="8" t="s">
        <v>285</v>
      </c>
      <c r="C9" s="8" t="s">
        <v>105</v>
      </c>
      <c r="D9" s="114">
        <v>6027</v>
      </c>
    </row>
    <row r="10" spans="2:6">
      <c r="B10" s="8" t="s">
        <v>286</v>
      </c>
      <c r="C10" s="37" t="s">
        <v>409</v>
      </c>
      <c r="D10" s="114">
        <v>744404</v>
      </c>
    </row>
    <row r="11" spans="2:6">
      <c r="B11" s="8" t="s">
        <v>287</v>
      </c>
      <c r="C11" s="37" t="s">
        <v>410</v>
      </c>
      <c r="D11" s="114">
        <v>297578</v>
      </c>
    </row>
    <row r="12" spans="2:6">
      <c r="B12" s="8" t="s">
        <v>288</v>
      </c>
      <c r="C12" s="37" t="s">
        <v>411</v>
      </c>
      <c r="D12" s="114">
        <v>229195.15470000001</v>
      </c>
    </row>
    <row r="13" spans="2:6">
      <c r="B13" s="8" t="s">
        <v>289</v>
      </c>
      <c r="C13" s="37" t="s">
        <v>412</v>
      </c>
      <c r="D13" s="114">
        <v>22474</v>
      </c>
    </row>
    <row r="14" spans="2:6">
      <c r="B14" s="8" t="s">
        <v>290</v>
      </c>
      <c r="C14" s="37" t="s">
        <v>413</v>
      </c>
      <c r="D14" s="114">
        <v>35378</v>
      </c>
    </row>
    <row r="15" spans="2:6">
      <c r="B15" s="8" t="s">
        <v>291</v>
      </c>
      <c r="C15" s="37" t="s">
        <v>414</v>
      </c>
      <c r="D15" s="114">
        <v>91090.639139999999</v>
      </c>
    </row>
    <row r="16" spans="2:6">
      <c r="B16" s="2"/>
      <c r="C16" s="2"/>
      <c r="D16" s="20"/>
    </row>
    <row r="18" spans="2:4">
      <c r="B18" s="294" t="s">
        <v>279</v>
      </c>
      <c r="C18" s="294"/>
      <c r="D18" s="294"/>
    </row>
    <row r="19" spans="2:4">
      <c r="B19" s="36" t="s">
        <v>283</v>
      </c>
      <c r="C19" s="36" t="s">
        <v>88</v>
      </c>
      <c r="D19" s="113" t="s">
        <v>89</v>
      </c>
    </row>
    <row r="20" spans="2:4">
      <c r="B20" s="8" t="s">
        <v>292</v>
      </c>
      <c r="C20" s="8" t="s">
        <v>251</v>
      </c>
      <c r="D20" s="114">
        <v>573</v>
      </c>
    </row>
    <row r="21" spans="2:4">
      <c r="B21" s="8" t="s">
        <v>293</v>
      </c>
      <c r="C21" s="8" t="s">
        <v>252</v>
      </c>
      <c r="D21" s="114">
        <v>168</v>
      </c>
    </row>
    <row r="22" spans="2:4">
      <c r="B22" s="8" t="s">
        <v>294</v>
      </c>
      <c r="C22" s="8" t="s">
        <v>256</v>
      </c>
      <c r="D22" s="114">
        <v>81</v>
      </c>
    </row>
    <row r="23" spans="2:4">
      <c r="B23" s="8" t="s">
        <v>295</v>
      </c>
      <c r="C23" s="8" t="s">
        <v>253</v>
      </c>
      <c r="D23" s="114">
        <v>4</v>
      </c>
    </row>
    <row r="24" spans="2:4">
      <c r="B24" s="8" t="s">
        <v>296</v>
      </c>
      <c r="C24" s="8" t="s">
        <v>254</v>
      </c>
      <c r="D24" s="114">
        <v>4</v>
      </c>
    </row>
    <row r="25" spans="2:4">
      <c r="B25" s="8" t="s">
        <v>297</v>
      </c>
      <c r="C25" s="8" t="s">
        <v>255</v>
      </c>
      <c r="D25" s="114">
        <v>0</v>
      </c>
    </row>
    <row r="26" spans="2:4">
      <c r="B26" s="2"/>
    </row>
    <row r="28" spans="2:4">
      <c r="B28" s="294" t="s">
        <v>280</v>
      </c>
      <c r="C28" s="294"/>
      <c r="D28" s="294"/>
    </row>
    <row r="29" spans="2:4">
      <c r="B29" s="36" t="s">
        <v>283</v>
      </c>
      <c r="C29" s="36" t="s">
        <v>88</v>
      </c>
      <c r="D29" s="113" t="s">
        <v>89</v>
      </c>
    </row>
    <row r="30" spans="2:4">
      <c r="B30" s="8" t="s">
        <v>298</v>
      </c>
      <c r="C30" s="8" t="s">
        <v>248</v>
      </c>
      <c r="D30" s="114">
        <v>79</v>
      </c>
    </row>
    <row r="31" spans="2:4">
      <c r="B31" s="8" t="s">
        <v>299</v>
      </c>
      <c r="C31" s="8" t="s">
        <v>249</v>
      </c>
      <c r="D31" s="114">
        <v>16</v>
      </c>
    </row>
    <row r="32" spans="2:4">
      <c r="B32" s="8" t="s">
        <v>300</v>
      </c>
      <c r="C32" s="8" t="s">
        <v>250</v>
      </c>
      <c r="D32" s="114">
        <v>7</v>
      </c>
    </row>
    <row r="35" spans="2:5">
      <c r="B35" s="294" t="s">
        <v>281</v>
      </c>
      <c r="C35" s="294"/>
      <c r="D35" s="294"/>
    </row>
    <row r="36" spans="2:5">
      <c r="B36" s="36" t="s">
        <v>283</v>
      </c>
      <c r="C36" s="36" t="s">
        <v>88</v>
      </c>
      <c r="D36" s="113" t="s">
        <v>89</v>
      </c>
    </row>
    <row r="37" spans="2:5">
      <c r="B37" s="8" t="s">
        <v>301</v>
      </c>
      <c r="C37" s="8" t="s">
        <v>408</v>
      </c>
      <c r="D37" s="114">
        <v>705.18818999999996</v>
      </c>
    </row>
    <row r="40" spans="2:5">
      <c r="B40" s="294" t="s">
        <v>238</v>
      </c>
      <c r="C40" s="294"/>
      <c r="D40" s="294"/>
      <c r="E40" s="8"/>
    </row>
    <row r="41" spans="2:5">
      <c r="B41" s="36" t="s">
        <v>283</v>
      </c>
      <c r="C41" s="36" t="s">
        <v>88</v>
      </c>
      <c r="D41" s="113" t="s">
        <v>272</v>
      </c>
      <c r="E41" s="226" t="s">
        <v>273</v>
      </c>
    </row>
    <row r="42" spans="2:5">
      <c r="B42" s="8" t="s">
        <v>302</v>
      </c>
      <c r="C42" s="8" t="s">
        <v>257</v>
      </c>
      <c r="D42" s="114">
        <v>11117</v>
      </c>
      <c r="E42" s="114"/>
    </row>
    <row r="43" spans="2:5">
      <c r="B43" s="8" t="s">
        <v>303</v>
      </c>
      <c r="C43" s="8" t="s">
        <v>236</v>
      </c>
      <c r="D43" s="114">
        <f>(1685408+345204)</f>
        <v>2030612</v>
      </c>
      <c r="E43" s="114">
        <f>(1216150+249091)</f>
        <v>1465241</v>
      </c>
    </row>
    <row r="44" spans="2:5">
      <c r="B44" s="8" t="s">
        <v>304</v>
      </c>
      <c r="C44" s="8" t="s">
        <v>258</v>
      </c>
      <c r="D44" s="114">
        <v>4198</v>
      </c>
      <c r="E44" s="114"/>
    </row>
    <row r="45" spans="2:5">
      <c r="B45" s="8" t="s">
        <v>305</v>
      </c>
      <c r="C45" s="37" t="s">
        <v>264</v>
      </c>
      <c r="D45" s="114">
        <v>3991</v>
      </c>
      <c r="E45" s="114"/>
    </row>
    <row r="46" spans="2:5">
      <c r="B46" s="8" t="s">
        <v>306</v>
      </c>
      <c r="C46" s="37" t="s">
        <v>265</v>
      </c>
      <c r="D46" s="114">
        <v>386783</v>
      </c>
      <c r="E46" s="114">
        <v>279094</v>
      </c>
    </row>
    <row r="47" spans="2:5">
      <c r="B47" s="8" t="s">
        <v>307</v>
      </c>
      <c r="C47" s="37" t="s">
        <v>415</v>
      </c>
      <c r="D47" s="114">
        <v>1.8</v>
      </c>
      <c r="E47" s="114">
        <v>17.600000000000001</v>
      </c>
    </row>
    <row r="50" spans="2:5">
      <c r="B50" s="294" t="s">
        <v>282</v>
      </c>
      <c r="C50" s="294"/>
      <c r="D50" s="294"/>
      <c r="E50" s="8"/>
    </row>
    <row r="51" spans="2:5">
      <c r="B51" s="36" t="s">
        <v>283</v>
      </c>
      <c r="C51" s="36" t="s">
        <v>88</v>
      </c>
      <c r="D51" s="113" t="s">
        <v>272</v>
      </c>
      <c r="E51" s="113" t="s">
        <v>273</v>
      </c>
    </row>
    <row r="52" spans="2:5">
      <c r="B52" s="8" t="s">
        <v>308</v>
      </c>
      <c r="C52" s="8" t="s">
        <v>259</v>
      </c>
      <c r="D52" s="114">
        <v>72</v>
      </c>
      <c r="E52" s="114"/>
    </row>
    <row r="53" spans="2:5">
      <c r="B53" s="8" t="s">
        <v>309</v>
      </c>
      <c r="C53" s="8" t="s">
        <v>260</v>
      </c>
      <c r="D53" s="114">
        <v>7</v>
      </c>
      <c r="E53" s="114"/>
    </row>
    <row r="54" spans="2:5">
      <c r="B54" s="8" t="s">
        <v>310</v>
      </c>
      <c r="C54" s="37" t="s">
        <v>266</v>
      </c>
      <c r="D54" s="114">
        <v>125</v>
      </c>
      <c r="E54" s="114"/>
    </row>
    <row r="55" spans="2:5">
      <c r="B55" s="8" t="s">
        <v>311</v>
      </c>
      <c r="C55" s="37" t="s">
        <v>419</v>
      </c>
      <c r="D55" s="114">
        <v>146000</v>
      </c>
      <c r="E55" s="114"/>
    </row>
    <row r="56" spans="2:5">
      <c r="B56" s="8" t="s">
        <v>312</v>
      </c>
      <c r="C56" s="37" t="s">
        <v>418</v>
      </c>
      <c r="D56" s="114">
        <v>10.5</v>
      </c>
      <c r="E56" s="114"/>
    </row>
    <row r="57" spans="2:5">
      <c r="B57" s="8" t="s">
        <v>313</v>
      </c>
      <c r="C57" s="37" t="s">
        <v>270</v>
      </c>
      <c r="D57" s="114">
        <f>(73307.9211+59195.007)</f>
        <v>132502.92810000002</v>
      </c>
      <c r="E57" s="114">
        <v>61196</v>
      </c>
    </row>
    <row r="58" spans="2:5">
      <c r="B58" s="8" t="s">
        <v>314</v>
      </c>
      <c r="C58" s="37" t="s">
        <v>271</v>
      </c>
      <c r="D58" s="114">
        <v>1.8520000000000001</v>
      </c>
      <c r="E58" s="114">
        <v>1.8520000000000001</v>
      </c>
    </row>
    <row r="59" spans="2:5">
      <c r="B59" s="8" t="s">
        <v>315</v>
      </c>
      <c r="C59" s="37" t="s">
        <v>346</v>
      </c>
      <c r="D59" s="114">
        <v>1402331</v>
      </c>
      <c r="E59" s="114"/>
    </row>
    <row r="60" spans="2:5">
      <c r="B60" s="8" t="s">
        <v>316</v>
      </c>
      <c r="C60" s="37" t="s">
        <v>347</v>
      </c>
      <c r="D60" s="114">
        <v>111077</v>
      </c>
      <c r="E60" s="114"/>
    </row>
    <row r="61" spans="2:5">
      <c r="B61" s="8" t="s">
        <v>317</v>
      </c>
      <c r="C61" s="37" t="s">
        <v>416</v>
      </c>
      <c r="D61" s="114">
        <v>5989</v>
      </c>
      <c r="E61" s="114"/>
    </row>
    <row r="62" spans="2:5">
      <c r="B62" s="8" t="s">
        <v>318</v>
      </c>
      <c r="C62" s="37" t="s">
        <v>345</v>
      </c>
      <c r="D62" s="114">
        <v>316924</v>
      </c>
      <c r="E62" s="114"/>
    </row>
    <row r="63" spans="2:5">
      <c r="B63" s="8" t="s">
        <v>319</v>
      </c>
      <c r="C63" s="37" t="s">
        <v>348</v>
      </c>
      <c r="D63" s="114">
        <v>11746</v>
      </c>
      <c r="E63" s="114"/>
    </row>
    <row r="64" spans="2:5">
      <c r="B64" s="8" t="s">
        <v>320</v>
      </c>
      <c r="C64" s="37" t="s">
        <v>421</v>
      </c>
      <c r="D64" s="114">
        <v>104054</v>
      </c>
      <c r="E64" s="114"/>
    </row>
    <row r="65" spans="2:5">
      <c r="B65" s="8" t="s">
        <v>321</v>
      </c>
      <c r="C65" s="37" t="s">
        <v>422</v>
      </c>
      <c r="D65" s="114">
        <v>105346</v>
      </c>
      <c r="E65" s="114"/>
    </row>
    <row r="66" spans="2:5">
      <c r="B66" s="8" t="s">
        <v>322</v>
      </c>
      <c r="C66" s="37" t="s">
        <v>275</v>
      </c>
      <c r="D66" s="114">
        <v>280</v>
      </c>
      <c r="E66" s="114"/>
    </row>
    <row r="67" spans="2:5">
      <c r="B67" s="8" t="s">
        <v>323</v>
      </c>
      <c r="C67" s="37" t="s">
        <v>274</v>
      </c>
      <c r="D67" s="114">
        <v>0</v>
      </c>
      <c r="E67" s="114"/>
    </row>
    <row r="68" spans="2:5">
      <c r="B68" s="8" t="s">
        <v>324</v>
      </c>
      <c r="C68" s="37" t="s">
        <v>420</v>
      </c>
      <c r="D68" s="114">
        <v>20.372</v>
      </c>
      <c r="E68" s="114"/>
    </row>
    <row r="69" spans="2:5">
      <c r="B69" s="8" t="s">
        <v>325</v>
      </c>
      <c r="C69" s="37" t="s">
        <v>642</v>
      </c>
      <c r="D69" s="114">
        <v>25.928000000000001</v>
      </c>
      <c r="E69" s="114"/>
    </row>
    <row r="70" spans="2:5">
      <c r="B70" s="37" t="s">
        <v>326</v>
      </c>
      <c r="C70" s="37" t="s">
        <v>417</v>
      </c>
      <c r="D70" s="114">
        <f>(645113.4+279549)</f>
        <v>924662.4</v>
      </c>
      <c r="E70" s="114"/>
    </row>
    <row r="73" spans="2:5">
      <c r="B73" s="294" t="s">
        <v>10</v>
      </c>
      <c r="C73" s="294"/>
      <c r="D73" s="294"/>
    </row>
    <row r="74" spans="2:5">
      <c r="B74" s="36" t="s">
        <v>283</v>
      </c>
      <c r="C74" s="36" t="s">
        <v>88</v>
      </c>
      <c r="D74" s="113" t="s">
        <v>89</v>
      </c>
    </row>
    <row r="75" spans="2:5">
      <c r="B75" s="8" t="s">
        <v>327</v>
      </c>
      <c r="C75" s="8" t="s">
        <v>115</v>
      </c>
      <c r="D75" s="219">
        <f>25263*0.75</f>
        <v>18947.25</v>
      </c>
    </row>
    <row r="76" spans="2:5">
      <c r="B76" s="8" t="s">
        <v>328</v>
      </c>
      <c r="C76" s="8" t="s">
        <v>116</v>
      </c>
      <c r="D76" s="219">
        <f>25263*0.25</f>
        <v>6315.75</v>
      </c>
    </row>
    <row r="77" spans="2:5">
      <c r="B77" s="8" t="s">
        <v>329</v>
      </c>
      <c r="C77" s="37" t="s">
        <v>245</v>
      </c>
      <c r="D77" s="114">
        <v>12</v>
      </c>
    </row>
    <row r="78" spans="2:5">
      <c r="B78" s="8" t="s">
        <v>330</v>
      </c>
      <c r="C78" s="37" t="s">
        <v>246</v>
      </c>
      <c r="D78" s="114">
        <v>16</v>
      </c>
    </row>
    <row r="79" spans="2:5">
      <c r="B79" s="8" t="s">
        <v>331</v>
      </c>
      <c r="C79" s="37" t="s">
        <v>247</v>
      </c>
      <c r="D79" s="114">
        <v>3</v>
      </c>
    </row>
  </sheetData>
  <mergeCells count="10">
    <mergeCell ref="B18:D18"/>
    <mergeCell ref="B1:D1"/>
    <mergeCell ref="B2:D2"/>
    <mergeCell ref="B3:D3"/>
    <mergeCell ref="B6:D6"/>
    <mergeCell ref="B28:D28"/>
    <mergeCell ref="B35:D35"/>
    <mergeCell ref="B73:D73"/>
    <mergeCell ref="B50:D50"/>
    <mergeCell ref="B40:D40"/>
  </mergeCell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dimension ref="B1:G162"/>
  <sheetViews>
    <sheetView topLeftCell="A43" workbookViewId="0">
      <selection activeCell="J135" sqref="J135"/>
    </sheetView>
  </sheetViews>
  <sheetFormatPr defaultColWidth="8.85546875" defaultRowHeight="15"/>
  <cols>
    <col min="2" max="2" width="9.42578125" customWidth="1"/>
    <col min="3" max="3" width="24.140625" customWidth="1"/>
    <col min="4" max="4" width="111.42578125" customWidth="1"/>
    <col min="5" max="5" width="22.7109375" customWidth="1"/>
    <col min="6" max="6" width="10.42578125" customWidth="1"/>
  </cols>
  <sheetData>
    <row r="1" spans="2:6">
      <c r="C1" s="266" t="s">
        <v>428</v>
      </c>
      <c r="D1" s="267"/>
      <c r="E1" s="267"/>
    </row>
    <row r="2" spans="2:6">
      <c r="C2" s="258" t="s">
        <v>362</v>
      </c>
      <c r="D2" s="259"/>
      <c r="E2" s="259"/>
    </row>
    <row r="3" spans="2:6">
      <c r="C3" s="258" t="s">
        <v>430</v>
      </c>
      <c r="D3" s="259"/>
      <c r="E3" s="259"/>
    </row>
    <row r="4" spans="2:6">
      <c r="C4" s="258" t="s">
        <v>431</v>
      </c>
      <c r="D4" s="259"/>
      <c r="E4" s="259"/>
    </row>
    <row r="5" spans="2:6">
      <c r="C5" s="258" t="s">
        <v>363</v>
      </c>
      <c r="D5" s="259"/>
      <c r="E5" s="259"/>
    </row>
    <row r="6" spans="2:6" ht="15.75" thickBot="1">
      <c r="C6" s="119"/>
      <c r="D6" s="117"/>
      <c r="E6" s="117"/>
    </row>
    <row r="7" spans="2:6" ht="15" customHeight="1" thickBot="1">
      <c r="B7" s="345" t="s">
        <v>4</v>
      </c>
      <c r="C7" s="346"/>
      <c r="D7" s="346"/>
      <c r="E7" s="346"/>
      <c r="F7" s="347"/>
    </row>
    <row r="8" spans="2:6" ht="15" customHeight="1" thickBot="1">
      <c r="B8" s="132"/>
      <c r="C8" s="133" t="s">
        <v>424</v>
      </c>
      <c r="D8" s="133" t="s">
        <v>88</v>
      </c>
      <c r="E8" s="135" t="s">
        <v>96</v>
      </c>
      <c r="F8" s="134" t="s">
        <v>426</v>
      </c>
    </row>
    <row r="9" spans="2:6" ht="15" customHeight="1">
      <c r="B9" s="348" t="s">
        <v>507</v>
      </c>
      <c r="C9" s="150" t="s">
        <v>429</v>
      </c>
      <c r="D9" s="150" t="s">
        <v>425</v>
      </c>
      <c r="E9" s="151">
        <v>70</v>
      </c>
      <c r="F9" s="152" t="s">
        <v>427</v>
      </c>
    </row>
    <row r="10" spans="2:6" ht="15" customHeight="1">
      <c r="B10" s="349"/>
      <c r="C10" s="37" t="s">
        <v>528</v>
      </c>
      <c r="D10" s="125" t="s">
        <v>434</v>
      </c>
      <c r="E10" s="140">
        <v>40</v>
      </c>
      <c r="F10" s="142" t="s">
        <v>427</v>
      </c>
    </row>
    <row r="11" spans="2:6" ht="15" customHeight="1">
      <c r="B11" s="349"/>
      <c r="C11" s="37" t="s">
        <v>529</v>
      </c>
      <c r="D11" s="125" t="s">
        <v>435</v>
      </c>
      <c r="E11" s="140">
        <v>365</v>
      </c>
      <c r="F11" s="92" t="s">
        <v>649</v>
      </c>
    </row>
    <row r="12" spans="2:6" ht="15" customHeight="1" thickBot="1">
      <c r="B12" s="350"/>
      <c r="C12" s="170" t="s">
        <v>644</v>
      </c>
      <c r="D12" s="170" t="s">
        <v>647</v>
      </c>
      <c r="E12" s="223">
        <v>0.7</v>
      </c>
      <c r="F12" s="222" t="s">
        <v>447</v>
      </c>
    </row>
    <row r="13" spans="2:6" ht="15" customHeight="1" thickBot="1">
      <c r="B13" s="132"/>
      <c r="C13" s="133" t="s">
        <v>424</v>
      </c>
      <c r="D13" s="133" t="s">
        <v>88</v>
      </c>
      <c r="E13" s="135" t="s">
        <v>96</v>
      </c>
      <c r="F13" s="134" t="s">
        <v>426</v>
      </c>
    </row>
    <row r="14" spans="2:6" ht="15.75">
      <c r="B14" s="338" t="s">
        <v>172</v>
      </c>
      <c r="C14" s="74" t="s">
        <v>472</v>
      </c>
      <c r="D14" s="158" t="s">
        <v>437</v>
      </c>
      <c r="E14" s="75">
        <v>3.2</v>
      </c>
      <c r="F14" s="155" t="s">
        <v>438</v>
      </c>
    </row>
    <row r="15" spans="2:6" ht="15.75">
      <c r="B15" s="339"/>
      <c r="C15" s="8" t="s">
        <v>473</v>
      </c>
      <c r="D15" s="120" t="s">
        <v>441</v>
      </c>
      <c r="E15" s="76">
        <v>6.1</v>
      </c>
      <c r="F15" s="156" t="s">
        <v>438</v>
      </c>
    </row>
    <row r="16" spans="2:6" ht="15.75">
      <c r="B16" s="339"/>
      <c r="C16" s="8" t="s">
        <v>474</v>
      </c>
      <c r="D16" s="120" t="s">
        <v>442</v>
      </c>
      <c r="E16" s="76">
        <v>0.4</v>
      </c>
      <c r="F16" s="156" t="s">
        <v>438</v>
      </c>
    </row>
    <row r="17" spans="2:7" ht="15.75">
      <c r="B17" s="339"/>
      <c r="C17" s="8" t="s">
        <v>475</v>
      </c>
      <c r="D17" s="120" t="s">
        <v>443</v>
      </c>
      <c r="E17" s="76">
        <v>1.6</v>
      </c>
      <c r="F17" s="156" t="s">
        <v>438</v>
      </c>
    </row>
    <row r="18" spans="2:7" ht="15.75">
      <c r="B18" s="339"/>
      <c r="C18" s="8" t="s">
        <v>476</v>
      </c>
      <c r="D18" s="120" t="s">
        <v>440</v>
      </c>
      <c r="E18" s="76">
        <v>0.9</v>
      </c>
      <c r="F18" s="156" t="s">
        <v>438</v>
      </c>
    </row>
    <row r="19" spans="2:7" ht="15.75">
      <c r="B19" s="339"/>
      <c r="C19" s="8" t="s">
        <v>477</v>
      </c>
      <c r="D19" s="120" t="s">
        <v>444</v>
      </c>
      <c r="E19" s="76">
        <v>5.4</v>
      </c>
      <c r="F19" s="156" t="s">
        <v>438</v>
      </c>
    </row>
    <row r="20" spans="2:7" ht="65.25" customHeight="1">
      <c r="B20" s="339"/>
      <c r="C20" s="8" t="s">
        <v>478</v>
      </c>
      <c r="D20" s="121" t="s">
        <v>445</v>
      </c>
      <c r="E20" s="76">
        <f>(31.1+22.8)</f>
        <v>53.900000000000006</v>
      </c>
      <c r="F20" s="156" t="s">
        <v>438</v>
      </c>
      <c r="G20" t="s">
        <v>439</v>
      </c>
    </row>
    <row r="21" spans="2:7" ht="15.75">
      <c r="B21" s="339"/>
      <c r="C21" s="8" t="s">
        <v>479</v>
      </c>
      <c r="D21" s="121" t="s">
        <v>648</v>
      </c>
      <c r="E21" s="76">
        <f>9.3+7.6+0.7+0.3</f>
        <v>17.899999999999999</v>
      </c>
      <c r="F21" s="156" t="s">
        <v>438</v>
      </c>
    </row>
    <row r="22" spans="2:7" ht="15.75">
      <c r="B22" s="339"/>
      <c r="C22" s="80" t="s">
        <v>492</v>
      </c>
      <c r="D22" s="120" t="s">
        <v>448</v>
      </c>
      <c r="E22" s="159">
        <v>20</v>
      </c>
      <c r="F22" s="156" t="s">
        <v>449</v>
      </c>
    </row>
    <row r="23" spans="2:7">
      <c r="B23" s="339"/>
      <c r="C23" s="80" t="s">
        <v>493</v>
      </c>
      <c r="D23" s="125" t="s">
        <v>446</v>
      </c>
      <c r="E23" s="182">
        <v>0.4</v>
      </c>
      <c r="F23" s="156" t="s">
        <v>447</v>
      </c>
    </row>
    <row r="24" spans="2:7" ht="15.75">
      <c r="B24" s="339"/>
      <c r="C24" s="80" t="s">
        <v>480</v>
      </c>
      <c r="D24" s="127" t="s">
        <v>450</v>
      </c>
      <c r="E24" s="160">
        <v>10</v>
      </c>
      <c r="F24" s="155" t="s">
        <v>438</v>
      </c>
    </row>
    <row r="25" spans="2:7" ht="16.5" thickBot="1">
      <c r="B25" s="340"/>
      <c r="C25" s="81" t="s">
        <v>481</v>
      </c>
      <c r="D25" s="123" t="s">
        <v>451</v>
      </c>
      <c r="E25" s="72">
        <v>1.3</v>
      </c>
      <c r="F25" s="157" t="s">
        <v>438</v>
      </c>
    </row>
    <row r="26" spans="2:7" ht="15" customHeight="1" thickBot="1">
      <c r="B26" s="132"/>
      <c r="C26" s="133" t="s">
        <v>424</v>
      </c>
      <c r="D26" s="133" t="s">
        <v>88</v>
      </c>
      <c r="E26" s="133" t="s">
        <v>96</v>
      </c>
      <c r="F26" s="144" t="s">
        <v>426</v>
      </c>
    </row>
    <row r="27" spans="2:7" ht="15.75">
      <c r="B27" s="341" t="s">
        <v>173</v>
      </c>
      <c r="C27" s="126" t="s">
        <v>482</v>
      </c>
      <c r="D27" s="127" t="s">
        <v>452</v>
      </c>
      <c r="E27" s="126">
        <v>4.4000000000000004</v>
      </c>
      <c r="F27" s="141" t="s">
        <v>438</v>
      </c>
    </row>
    <row r="28" spans="2:7" ht="15.75">
      <c r="B28" s="339"/>
      <c r="C28" s="8" t="s">
        <v>483</v>
      </c>
      <c r="D28" s="120" t="s">
        <v>453</v>
      </c>
      <c r="E28" s="8">
        <v>4.0999999999999996</v>
      </c>
      <c r="F28" s="142" t="s">
        <v>438</v>
      </c>
    </row>
    <row r="29" spans="2:7" ht="15.75">
      <c r="B29" s="339"/>
      <c r="C29" s="8" t="s">
        <v>484</v>
      </c>
      <c r="D29" s="120" t="s">
        <v>454</v>
      </c>
      <c r="E29" s="8">
        <v>2</v>
      </c>
      <c r="F29" s="142" t="s">
        <v>438</v>
      </c>
    </row>
    <row r="30" spans="2:7" ht="15.75">
      <c r="B30" s="339"/>
      <c r="C30" s="8" t="s">
        <v>485</v>
      </c>
      <c r="D30" s="120" t="s">
        <v>455</v>
      </c>
      <c r="E30" s="8">
        <v>3.2</v>
      </c>
      <c r="F30" s="142" t="s">
        <v>438</v>
      </c>
    </row>
    <row r="31" spans="2:7" ht="15.75">
      <c r="B31" s="339"/>
      <c r="C31" s="8" t="s">
        <v>486</v>
      </c>
      <c r="D31" s="120" t="s">
        <v>456</v>
      </c>
      <c r="E31" s="8">
        <v>2.6</v>
      </c>
      <c r="F31" s="142" t="s">
        <v>438</v>
      </c>
    </row>
    <row r="32" spans="2:7" ht="15.75">
      <c r="B32" s="339"/>
      <c r="C32" s="8" t="s">
        <v>487</v>
      </c>
      <c r="D32" s="120" t="s">
        <v>457</v>
      </c>
      <c r="E32" s="8">
        <v>32.5</v>
      </c>
      <c r="F32" s="142" t="s">
        <v>438</v>
      </c>
    </row>
    <row r="33" spans="2:6" ht="15.75">
      <c r="B33" s="339"/>
      <c r="C33" s="8" t="s">
        <v>488</v>
      </c>
      <c r="D33" s="120" t="s">
        <v>458</v>
      </c>
      <c r="E33" s="8">
        <v>2</v>
      </c>
      <c r="F33" s="142" t="s">
        <v>438</v>
      </c>
    </row>
    <row r="34" spans="2:6" ht="16.5" thickBot="1">
      <c r="B34" s="342"/>
      <c r="C34" s="130" t="s">
        <v>489</v>
      </c>
      <c r="D34" s="136" t="s">
        <v>459</v>
      </c>
      <c r="E34" s="130">
        <v>0.7</v>
      </c>
      <c r="F34" s="143" t="s">
        <v>438</v>
      </c>
    </row>
    <row r="35" spans="2:6" ht="15" customHeight="1" thickBot="1">
      <c r="B35" s="132"/>
      <c r="C35" s="133" t="s">
        <v>424</v>
      </c>
      <c r="D35" s="133" t="s">
        <v>88</v>
      </c>
      <c r="E35" s="133" t="s">
        <v>96</v>
      </c>
      <c r="F35" s="144" t="s">
        <v>426</v>
      </c>
    </row>
    <row r="36" spans="2:6" ht="27" customHeight="1">
      <c r="B36" s="343" t="s">
        <v>406</v>
      </c>
      <c r="C36" s="126" t="s">
        <v>490</v>
      </c>
      <c r="D36" s="127" t="s">
        <v>460</v>
      </c>
      <c r="E36" s="126">
        <v>4.5</v>
      </c>
      <c r="F36" s="141" t="s">
        <v>438</v>
      </c>
    </row>
    <row r="37" spans="2:6" ht="32.25" thickBot="1">
      <c r="B37" s="344"/>
      <c r="C37" s="130" t="s">
        <v>491</v>
      </c>
      <c r="D37" s="136" t="s">
        <v>461</v>
      </c>
      <c r="E37" s="130">
        <v>7.3</v>
      </c>
      <c r="F37" s="143" t="s">
        <v>438</v>
      </c>
    </row>
    <row r="38" spans="2:6" ht="15.75" thickBot="1">
      <c r="B38" s="132"/>
      <c r="C38" s="133" t="s">
        <v>424</v>
      </c>
      <c r="D38" s="133" t="s">
        <v>88</v>
      </c>
      <c r="E38" s="133" t="s">
        <v>96</v>
      </c>
      <c r="F38" s="144" t="s">
        <v>426</v>
      </c>
    </row>
    <row r="39" spans="2:6" ht="42" thickBot="1">
      <c r="B39" s="149" t="s">
        <v>174</v>
      </c>
      <c r="C39" s="137" t="s">
        <v>494</v>
      </c>
      <c r="D39" s="138" t="s">
        <v>462</v>
      </c>
      <c r="E39" s="137">
        <v>79</v>
      </c>
      <c r="F39" s="145" t="s">
        <v>463</v>
      </c>
    </row>
    <row r="40" spans="2:6" ht="15" customHeight="1" thickBot="1">
      <c r="B40" s="139"/>
      <c r="C40" s="133" t="s">
        <v>424</v>
      </c>
      <c r="D40" s="133" t="s">
        <v>88</v>
      </c>
      <c r="E40" s="133" t="s">
        <v>96</v>
      </c>
      <c r="F40" s="144" t="s">
        <v>426</v>
      </c>
    </row>
    <row r="41" spans="2:6" ht="18">
      <c r="B41" s="333" t="s">
        <v>171</v>
      </c>
      <c r="C41" s="74" t="s">
        <v>495</v>
      </c>
      <c r="D41" s="158" t="s">
        <v>516</v>
      </c>
      <c r="E41" s="74">
        <v>24.08</v>
      </c>
      <c r="F41" s="169" t="s">
        <v>470</v>
      </c>
    </row>
    <row r="42" spans="2:6" ht="18">
      <c r="B42" s="334"/>
      <c r="C42" s="8" t="s">
        <v>496</v>
      </c>
      <c r="D42" s="120" t="s">
        <v>518</v>
      </c>
      <c r="E42" s="8">
        <v>34.99</v>
      </c>
      <c r="F42" s="147" t="s">
        <v>470</v>
      </c>
    </row>
    <row r="43" spans="2:6" ht="18">
      <c r="B43" s="334"/>
      <c r="C43" s="8" t="s">
        <v>497</v>
      </c>
      <c r="D43" s="120" t="s">
        <v>517</v>
      </c>
      <c r="E43" s="8">
        <v>33.74</v>
      </c>
      <c r="F43" s="147" t="s">
        <v>470</v>
      </c>
    </row>
    <row r="44" spans="2:6" ht="18">
      <c r="B44" s="334"/>
      <c r="C44" s="8" t="s">
        <v>498</v>
      </c>
      <c r="D44" s="120" t="s">
        <v>521</v>
      </c>
      <c r="E44" s="8">
        <v>25.77</v>
      </c>
      <c r="F44" s="147" t="s">
        <v>470</v>
      </c>
    </row>
    <row r="45" spans="2:6" ht="18">
      <c r="B45" s="334"/>
      <c r="C45" s="8" t="s">
        <v>499</v>
      </c>
      <c r="D45" s="120" t="s">
        <v>519</v>
      </c>
      <c r="E45" s="8">
        <v>36.99</v>
      </c>
      <c r="F45" s="147" t="s">
        <v>470</v>
      </c>
    </row>
    <row r="46" spans="2:6" ht="18">
      <c r="B46" s="334"/>
      <c r="C46" s="8" t="s">
        <v>500</v>
      </c>
      <c r="D46" s="120" t="s">
        <v>520</v>
      </c>
      <c r="E46" s="8">
        <v>35.450000000000003</v>
      </c>
      <c r="F46" s="147" t="s">
        <v>470</v>
      </c>
    </row>
    <row r="47" spans="2:6" ht="18">
      <c r="B47" s="334"/>
      <c r="C47" s="8" t="s">
        <v>501</v>
      </c>
      <c r="D47" s="120" t="s">
        <v>464</v>
      </c>
      <c r="E47" s="8">
        <v>159.4</v>
      </c>
      <c r="F47" s="147" t="s">
        <v>470</v>
      </c>
    </row>
    <row r="48" spans="2:6" ht="18">
      <c r="B48" s="335"/>
      <c r="C48" s="8" t="s">
        <v>502</v>
      </c>
      <c r="D48" s="120" t="s">
        <v>465</v>
      </c>
      <c r="E48" s="37">
        <v>145.1</v>
      </c>
      <c r="F48" s="147" t="s">
        <v>470</v>
      </c>
    </row>
    <row r="49" spans="2:7" ht="18">
      <c r="B49" s="335"/>
      <c r="C49" s="8" t="s">
        <v>503</v>
      </c>
      <c r="D49" s="120" t="s">
        <v>466</v>
      </c>
      <c r="E49" s="37">
        <v>107.7</v>
      </c>
      <c r="F49" s="147" t="s">
        <v>470</v>
      </c>
    </row>
    <row r="50" spans="2:7" ht="18">
      <c r="B50" s="335"/>
      <c r="C50" s="8" t="s">
        <v>504</v>
      </c>
      <c r="D50" s="120" t="s">
        <v>467</v>
      </c>
      <c r="E50" s="37">
        <v>110.8</v>
      </c>
      <c r="F50" s="147" t="s">
        <v>470</v>
      </c>
    </row>
    <row r="51" spans="2:7" ht="18">
      <c r="B51" s="335"/>
      <c r="C51" s="8" t="s">
        <v>505</v>
      </c>
      <c r="D51" s="120" t="s">
        <v>468</v>
      </c>
      <c r="E51" s="37">
        <v>109</v>
      </c>
      <c r="F51" s="147" t="s">
        <v>471</v>
      </c>
    </row>
    <row r="52" spans="2:7" ht="18">
      <c r="B52" s="335"/>
      <c r="C52" s="8" t="s">
        <v>506</v>
      </c>
      <c r="D52" s="120" t="s">
        <v>469</v>
      </c>
      <c r="E52" s="37">
        <v>90.4</v>
      </c>
      <c r="F52" s="147" t="s">
        <v>470</v>
      </c>
    </row>
    <row r="53" spans="2:7" ht="15.75">
      <c r="B53" s="336"/>
      <c r="C53" s="37" t="s">
        <v>634</v>
      </c>
      <c r="D53" s="8" t="s">
        <v>638</v>
      </c>
      <c r="E53" s="181">
        <v>0.64</v>
      </c>
      <c r="F53" s="147" t="s">
        <v>447</v>
      </c>
    </row>
    <row r="54" spans="2:7" ht="15.75">
      <c r="B54" s="336"/>
      <c r="C54" s="37" t="s">
        <v>635</v>
      </c>
      <c r="D54" s="8" t="s">
        <v>639</v>
      </c>
      <c r="E54" s="181">
        <v>0.14000000000000001</v>
      </c>
      <c r="F54" s="147" t="s">
        <v>447</v>
      </c>
    </row>
    <row r="55" spans="2:7" ht="15.75">
      <c r="B55" s="336"/>
      <c r="C55" s="37" t="s">
        <v>636</v>
      </c>
      <c r="D55" s="8" t="s">
        <v>640</v>
      </c>
      <c r="E55" s="181">
        <v>0.09</v>
      </c>
      <c r="F55" s="147" t="s">
        <v>447</v>
      </c>
    </row>
    <row r="56" spans="2:7" ht="16.5" thickBot="1">
      <c r="B56" s="337"/>
      <c r="C56" s="124" t="s">
        <v>637</v>
      </c>
      <c r="D56" s="71" t="s">
        <v>641</v>
      </c>
      <c r="E56" s="183">
        <v>0.13</v>
      </c>
      <c r="F56" s="148" t="s">
        <v>447</v>
      </c>
    </row>
    <row r="58" spans="2:7" ht="15.75" thickBot="1"/>
    <row r="59" spans="2:7" ht="15.75" thickBot="1">
      <c r="B59" s="345" t="s">
        <v>5</v>
      </c>
      <c r="C59" s="346"/>
      <c r="D59" s="346"/>
      <c r="E59" s="346"/>
      <c r="F59" s="355"/>
      <c r="G59" s="2"/>
    </row>
    <row r="60" spans="2:7" ht="15.75" thickBot="1">
      <c r="B60" s="164"/>
      <c r="C60" s="165" t="s">
        <v>424</v>
      </c>
      <c r="D60" s="165" t="s">
        <v>88</v>
      </c>
      <c r="E60" s="165" t="s">
        <v>96</v>
      </c>
      <c r="F60" s="162" t="s">
        <v>426</v>
      </c>
      <c r="G60" s="2"/>
    </row>
    <row r="61" spans="2:7" ht="18">
      <c r="B61" s="360" t="s">
        <v>507</v>
      </c>
      <c r="C61" s="161" t="s">
        <v>432</v>
      </c>
      <c r="D61" s="167" t="s">
        <v>536</v>
      </c>
      <c r="E61" s="171">
        <v>450</v>
      </c>
      <c r="F61" s="169" t="s">
        <v>540</v>
      </c>
      <c r="G61" s="2"/>
    </row>
    <row r="62" spans="2:7" ht="18">
      <c r="B62" s="361"/>
      <c r="C62" s="37" t="s">
        <v>530</v>
      </c>
      <c r="D62" s="120" t="s">
        <v>537</v>
      </c>
      <c r="E62" s="172">
        <v>900</v>
      </c>
      <c r="F62" s="147" t="s">
        <v>540</v>
      </c>
      <c r="G62" s="2"/>
    </row>
    <row r="63" spans="2:7" ht="18">
      <c r="B63" s="361"/>
      <c r="C63" s="37" t="s">
        <v>531</v>
      </c>
      <c r="D63" s="120" t="s">
        <v>652</v>
      </c>
      <c r="E63" s="172">
        <v>1200</v>
      </c>
      <c r="F63" s="147" t="s">
        <v>540</v>
      </c>
      <c r="G63" s="2"/>
    </row>
    <row r="64" spans="2:7" ht="18">
      <c r="B64" s="361"/>
      <c r="C64" s="37" t="s">
        <v>533</v>
      </c>
      <c r="D64" s="120" t="s">
        <v>538</v>
      </c>
      <c r="E64" s="172">
        <v>1666</v>
      </c>
      <c r="F64" s="147" t="s">
        <v>540</v>
      </c>
      <c r="G64" s="2"/>
    </row>
    <row r="65" spans="2:7" ht="18">
      <c r="B65" s="361"/>
      <c r="C65" s="174" t="s">
        <v>534</v>
      </c>
      <c r="D65" s="120" t="s">
        <v>539</v>
      </c>
      <c r="E65" s="175">
        <v>8922</v>
      </c>
      <c r="F65" s="176" t="s">
        <v>540</v>
      </c>
      <c r="G65" s="2"/>
    </row>
    <row r="66" spans="2:7" ht="18">
      <c r="B66" s="361"/>
      <c r="C66" s="37" t="s">
        <v>535</v>
      </c>
      <c r="D66" s="120" t="s">
        <v>651</v>
      </c>
      <c r="E66" s="172">
        <v>10305</v>
      </c>
      <c r="F66" s="224" t="s">
        <v>540</v>
      </c>
      <c r="G66" s="2"/>
    </row>
    <row r="67" spans="2:7" ht="15.75" thickBot="1">
      <c r="B67" s="363"/>
      <c r="C67" s="170" t="s">
        <v>646</v>
      </c>
      <c r="D67" s="170" t="s">
        <v>645</v>
      </c>
      <c r="E67" s="223">
        <v>0.7</v>
      </c>
      <c r="F67" s="222" t="s">
        <v>447</v>
      </c>
      <c r="G67" s="2"/>
    </row>
    <row r="68" spans="2:7" ht="15.75" thickBot="1">
      <c r="B68" s="173"/>
      <c r="C68" s="166" t="s">
        <v>424</v>
      </c>
      <c r="D68" s="166" t="s">
        <v>88</v>
      </c>
      <c r="E68" s="166" t="s">
        <v>96</v>
      </c>
      <c r="F68" s="163" t="s">
        <v>426</v>
      </c>
      <c r="G68" s="118"/>
    </row>
    <row r="69" spans="2:7" ht="15" customHeight="1">
      <c r="B69" s="356" t="s">
        <v>171</v>
      </c>
      <c r="C69" s="126" t="s">
        <v>508</v>
      </c>
      <c r="D69" s="127" t="s">
        <v>522</v>
      </c>
      <c r="E69" s="126">
        <v>39</v>
      </c>
      <c r="F69" s="146" t="s">
        <v>470</v>
      </c>
      <c r="G69" s="2"/>
    </row>
    <row r="70" spans="2:7" ht="18">
      <c r="B70" s="357"/>
      <c r="C70" s="8" t="s">
        <v>545</v>
      </c>
      <c r="D70" s="120" t="s">
        <v>523</v>
      </c>
      <c r="E70" s="8">
        <v>51</v>
      </c>
      <c r="F70" s="147" t="s">
        <v>470</v>
      </c>
      <c r="G70" s="2"/>
    </row>
    <row r="71" spans="2:7" ht="18">
      <c r="B71" s="357"/>
      <c r="C71" s="8" t="s">
        <v>546</v>
      </c>
      <c r="D71" s="120" t="s">
        <v>524</v>
      </c>
      <c r="E71" s="8">
        <v>64</v>
      </c>
      <c r="F71" s="147" t="s">
        <v>470</v>
      </c>
      <c r="G71" s="20"/>
    </row>
    <row r="72" spans="2:7" ht="18">
      <c r="B72" s="357"/>
      <c r="C72" s="8" t="s">
        <v>547</v>
      </c>
      <c r="D72" s="120" t="s">
        <v>526</v>
      </c>
      <c r="E72" s="8">
        <v>82</v>
      </c>
      <c r="F72" s="147" t="s">
        <v>470</v>
      </c>
    </row>
    <row r="73" spans="2:7" ht="18">
      <c r="B73" s="357"/>
      <c r="C73" s="8" t="s">
        <v>548</v>
      </c>
      <c r="D73" s="120" t="s">
        <v>525</v>
      </c>
      <c r="E73" s="8">
        <v>94</v>
      </c>
      <c r="F73" s="147" t="s">
        <v>470</v>
      </c>
    </row>
    <row r="74" spans="2:7" ht="18">
      <c r="B74" s="357"/>
      <c r="C74" s="8" t="s">
        <v>549</v>
      </c>
      <c r="D74" s="120" t="s">
        <v>527</v>
      </c>
      <c r="E74" s="8">
        <v>104</v>
      </c>
      <c r="F74" s="147" t="s">
        <v>470</v>
      </c>
    </row>
    <row r="75" spans="2:7" ht="18">
      <c r="B75" s="357"/>
      <c r="C75" s="8" t="s">
        <v>509</v>
      </c>
      <c r="D75" s="120" t="s">
        <v>510</v>
      </c>
      <c r="E75" s="8">
        <v>107</v>
      </c>
      <c r="F75" s="147" t="s">
        <v>470</v>
      </c>
    </row>
    <row r="76" spans="2:7" ht="18">
      <c r="B76" s="358"/>
      <c r="C76" s="8" t="s">
        <v>550</v>
      </c>
      <c r="D76" s="120" t="s">
        <v>511</v>
      </c>
      <c r="E76" s="37">
        <v>89</v>
      </c>
      <c r="F76" s="147" t="s">
        <v>470</v>
      </c>
    </row>
    <row r="77" spans="2:7" ht="18">
      <c r="B77" s="358"/>
      <c r="C77" s="8" t="s">
        <v>551</v>
      </c>
      <c r="D77" s="120" t="s">
        <v>512</v>
      </c>
      <c r="E77" s="37">
        <v>83</v>
      </c>
      <c r="F77" s="147" t="s">
        <v>470</v>
      </c>
    </row>
    <row r="78" spans="2:7" ht="18">
      <c r="B78" s="358"/>
      <c r="C78" s="8" t="s">
        <v>552</v>
      </c>
      <c r="D78" s="120" t="s">
        <v>513</v>
      </c>
      <c r="E78" s="37">
        <v>188</v>
      </c>
      <c r="F78" s="147" t="s">
        <v>470</v>
      </c>
    </row>
    <row r="79" spans="2:7" ht="18">
      <c r="B79" s="358"/>
      <c r="C79" s="8" t="s">
        <v>553</v>
      </c>
      <c r="D79" s="120" t="s">
        <v>514</v>
      </c>
      <c r="E79" s="37">
        <v>168</v>
      </c>
      <c r="F79" s="147" t="s">
        <v>471</v>
      </c>
    </row>
    <row r="80" spans="2:7" ht="18.75" thickBot="1">
      <c r="B80" s="359"/>
      <c r="C80" s="71" t="s">
        <v>554</v>
      </c>
      <c r="D80" s="123" t="s">
        <v>515</v>
      </c>
      <c r="E80" s="124">
        <v>160</v>
      </c>
      <c r="F80" s="148" t="s">
        <v>470</v>
      </c>
    </row>
    <row r="82" spans="2:7" ht="15.75" thickBot="1"/>
    <row r="83" spans="2:7" ht="15.75" thickBot="1">
      <c r="B83" s="345" t="s">
        <v>6</v>
      </c>
      <c r="C83" s="346"/>
      <c r="D83" s="346"/>
      <c r="E83" s="346"/>
      <c r="F83" s="355"/>
    </row>
    <row r="84" spans="2:7" ht="15.75" thickBot="1">
      <c r="B84" s="164"/>
      <c r="C84" s="165" t="s">
        <v>424</v>
      </c>
      <c r="D84" s="165" t="s">
        <v>88</v>
      </c>
      <c r="E84" s="165" t="s">
        <v>96</v>
      </c>
      <c r="F84" s="162" t="s">
        <v>426</v>
      </c>
    </row>
    <row r="85" spans="2:7" ht="18">
      <c r="B85" s="360" t="s">
        <v>507</v>
      </c>
      <c r="C85" s="161" t="s">
        <v>433</v>
      </c>
      <c r="D85" s="167" t="s">
        <v>542</v>
      </c>
      <c r="E85" s="171">
        <v>1500</v>
      </c>
      <c r="F85" s="169" t="s">
        <v>540</v>
      </c>
    </row>
    <row r="86" spans="2:7" ht="18">
      <c r="B86" s="361"/>
      <c r="C86" s="37" t="s">
        <v>541</v>
      </c>
      <c r="D86" s="120" t="s">
        <v>543</v>
      </c>
      <c r="E86" s="172">
        <v>1702</v>
      </c>
      <c r="F86" s="147" t="s">
        <v>540</v>
      </c>
    </row>
    <row r="87" spans="2:7" ht="18.75" thickBot="1">
      <c r="B87" s="361"/>
      <c r="C87" s="174" t="s">
        <v>532</v>
      </c>
      <c r="D87" s="122" t="s">
        <v>544</v>
      </c>
      <c r="E87" s="175">
        <v>1801</v>
      </c>
      <c r="F87" s="176" t="s">
        <v>540</v>
      </c>
    </row>
    <row r="88" spans="2:7" ht="15.75" thickBot="1">
      <c r="B88" s="177"/>
      <c r="C88" s="133" t="s">
        <v>424</v>
      </c>
      <c r="D88" s="133" t="s">
        <v>88</v>
      </c>
      <c r="E88" s="133" t="s">
        <v>96</v>
      </c>
      <c r="F88" s="144" t="s">
        <v>426</v>
      </c>
    </row>
    <row r="89" spans="2:7" ht="18">
      <c r="B89" s="356" t="s">
        <v>171</v>
      </c>
      <c r="C89" s="126" t="s">
        <v>555</v>
      </c>
      <c r="D89" s="127" t="s">
        <v>561</v>
      </c>
      <c r="E89" s="126">
        <v>18</v>
      </c>
      <c r="F89" s="146" t="s">
        <v>470</v>
      </c>
    </row>
    <row r="90" spans="2:7" ht="18">
      <c r="B90" s="357"/>
      <c r="C90" s="8" t="s">
        <v>556</v>
      </c>
      <c r="D90" s="120" t="s">
        <v>562</v>
      </c>
      <c r="E90" s="8">
        <v>19</v>
      </c>
      <c r="F90" s="147" t="s">
        <v>470</v>
      </c>
    </row>
    <row r="91" spans="2:7" ht="18">
      <c r="B91" s="357"/>
      <c r="C91" s="8" t="s">
        <v>557</v>
      </c>
      <c r="D91" s="120" t="s">
        <v>563</v>
      </c>
      <c r="E91" s="8">
        <v>20</v>
      </c>
      <c r="F91" s="147" t="s">
        <v>470</v>
      </c>
    </row>
    <row r="92" spans="2:7" ht="18">
      <c r="B92" s="357"/>
      <c r="C92" s="8" t="s">
        <v>558</v>
      </c>
      <c r="D92" s="120" t="s">
        <v>564</v>
      </c>
      <c r="E92" s="8">
        <v>37</v>
      </c>
      <c r="F92" s="147" t="s">
        <v>470</v>
      </c>
    </row>
    <row r="93" spans="2:7" ht="18">
      <c r="B93" s="358"/>
      <c r="C93" s="8" t="s">
        <v>559</v>
      </c>
      <c r="D93" s="120" t="s">
        <v>565</v>
      </c>
      <c r="E93" s="37">
        <v>36</v>
      </c>
      <c r="F93" s="147" t="s">
        <v>470</v>
      </c>
    </row>
    <row r="94" spans="2:7" ht="18">
      <c r="B94" s="358"/>
      <c r="C94" s="8" t="s">
        <v>560</v>
      </c>
      <c r="D94" s="120" t="s">
        <v>566</v>
      </c>
      <c r="E94" s="37">
        <v>36</v>
      </c>
      <c r="F94" s="147" t="s">
        <v>470</v>
      </c>
    </row>
    <row r="96" spans="2:7" ht="15.75" thickBot="1">
      <c r="G96" s="2"/>
    </row>
    <row r="97" spans="2:7" ht="15.75" thickBot="1">
      <c r="B97" s="287" t="s">
        <v>7</v>
      </c>
      <c r="C97" s="288"/>
      <c r="D97" s="289"/>
      <c r="E97" s="289"/>
      <c r="F97" s="362"/>
      <c r="G97" s="2"/>
    </row>
    <row r="98" spans="2:7" ht="15.75" thickBot="1">
      <c r="B98" s="177"/>
      <c r="C98" s="133" t="s">
        <v>424</v>
      </c>
      <c r="D98" s="133" t="s">
        <v>88</v>
      </c>
      <c r="E98" s="133" t="s">
        <v>96</v>
      </c>
      <c r="F98" s="144" t="s">
        <v>426</v>
      </c>
      <c r="G98" s="118"/>
    </row>
    <row r="99" spans="2:7" ht="51" customHeight="1" thickBot="1">
      <c r="B99" s="180" t="s">
        <v>171</v>
      </c>
      <c r="C99" s="82" t="s">
        <v>567</v>
      </c>
      <c r="D99" s="178" t="s">
        <v>568</v>
      </c>
      <c r="E99" s="82">
        <v>4065</v>
      </c>
      <c r="F99" s="179" t="s">
        <v>569</v>
      </c>
      <c r="G99" s="2"/>
    </row>
    <row r="100" spans="2:7">
      <c r="G100" s="2"/>
    </row>
    <row r="101" spans="2:7" ht="15.75" thickBot="1">
      <c r="G101" s="2"/>
    </row>
    <row r="102" spans="2:7" ht="15.75" thickBot="1">
      <c r="B102" s="277" t="s">
        <v>8</v>
      </c>
      <c r="C102" s="290"/>
      <c r="D102" s="278"/>
      <c r="E102" s="278"/>
      <c r="F102" s="279"/>
    </row>
    <row r="103" spans="2:7" ht="15.75" thickBot="1">
      <c r="B103" s="177"/>
      <c r="C103" s="133" t="s">
        <v>424</v>
      </c>
      <c r="D103" s="133" t="s">
        <v>88</v>
      </c>
      <c r="E103" s="133" t="s">
        <v>96</v>
      </c>
      <c r="F103" s="144" t="s">
        <v>426</v>
      </c>
    </row>
    <row r="104" spans="2:7" ht="36" customHeight="1" thickBot="1">
      <c r="B104" s="180" t="s">
        <v>507</v>
      </c>
      <c r="C104" s="82" t="s">
        <v>572</v>
      </c>
      <c r="D104" s="178" t="s">
        <v>571</v>
      </c>
      <c r="E104" s="82">
        <v>7500</v>
      </c>
      <c r="F104" s="185" t="s">
        <v>570</v>
      </c>
    </row>
    <row r="105" spans="2:7" ht="15.75" customHeight="1" thickBot="1">
      <c r="B105" s="177"/>
      <c r="C105" s="133" t="s">
        <v>424</v>
      </c>
      <c r="D105" s="133" t="s">
        <v>88</v>
      </c>
      <c r="E105" s="133" t="s">
        <v>96</v>
      </c>
      <c r="F105" s="144" t="s">
        <v>426</v>
      </c>
    </row>
    <row r="106" spans="2:7" ht="24" customHeight="1">
      <c r="B106" s="334" t="s">
        <v>171</v>
      </c>
      <c r="C106" s="126" t="s">
        <v>576</v>
      </c>
      <c r="D106" s="158" t="s">
        <v>573</v>
      </c>
      <c r="E106" s="184">
        <v>0.17</v>
      </c>
      <c r="F106" s="141" t="s">
        <v>447</v>
      </c>
    </row>
    <row r="107" spans="2:7" ht="24" customHeight="1" thickBot="1">
      <c r="B107" s="337"/>
      <c r="C107" s="71" t="s">
        <v>577</v>
      </c>
      <c r="D107" s="168" t="s">
        <v>574</v>
      </c>
      <c r="E107" s="183">
        <v>0.83</v>
      </c>
      <c r="F107" s="154" t="s">
        <v>447</v>
      </c>
    </row>
    <row r="109" spans="2:7" ht="15.75" thickBot="1"/>
    <row r="110" spans="2:7" ht="15.75" thickBot="1">
      <c r="B110" s="277" t="s">
        <v>9</v>
      </c>
      <c r="C110" s="290"/>
      <c r="D110" s="278"/>
      <c r="E110" s="278"/>
      <c r="F110" s="279"/>
    </row>
    <row r="111" spans="2:7" ht="15.75" thickBot="1">
      <c r="B111" s="177"/>
      <c r="C111" s="133" t="s">
        <v>424</v>
      </c>
      <c r="D111" s="133" t="s">
        <v>88</v>
      </c>
      <c r="E111" s="133" t="s">
        <v>96</v>
      </c>
      <c r="F111" s="144" t="s">
        <v>426</v>
      </c>
    </row>
    <row r="112" spans="2:7" ht="42.75" customHeight="1" thickBot="1">
      <c r="B112" s="180" t="s">
        <v>507</v>
      </c>
      <c r="C112" s="74" t="s">
        <v>575</v>
      </c>
      <c r="D112" s="167" t="s">
        <v>571</v>
      </c>
      <c r="E112" s="74">
        <v>7500</v>
      </c>
      <c r="F112" s="152" t="s">
        <v>570</v>
      </c>
    </row>
    <row r="113" spans="2:6" ht="15.75" customHeight="1" thickBot="1">
      <c r="B113" s="186"/>
      <c r="C113" s="165" t="s">
        <v>424</v>
      </c>
      <c r="D113" s="165" t="s">
        <v>88</v>
      </c>
      <c r="E113" s="165" t="s">
        <v>96</v>
      </c>
      <c r="F113" s="162" t="s">
        <v>426</v>
      </c>
    </row>
    <row r="114" spans="2:6" ht="15.75" customHeight="1">
      <c r="B114" s="351" t="s">
        <v>171</v>
      </c>
      <c r="C114" s="74" t="s">
        <v>578</v>
      </c>
      <c r="D114" s="158" t="s">
        <v>573</v>
      </c>
      <c r="E114" s="188">
        <v>0.17</v>
      </c>
      <c r="F114" s="152" t="s">
        <v>447</v>
      </c>
    </row>
    <row r="115" spans="2:6" ht="15.75" customHeight="1">
      <c r="B115" s="352"/>
      <c r="C115" s="8" t="s">
        <v>579</v>
      </c>
      <c r="D115" s="120" t="s">
        <v>574</v>
      </c>
      <c r="E115" s="181">
        <v>0.83</v>
      </c>
      <c r="F115" s="142" t="s">
        <v>447</v>
      </c>
    </row>
    <row r="116" spans="2:6" ht="15.75">
      <c r="B116" s="353"/>
      <c r="C116" s="37" t="s">
        <v>580</v>
      </c>
      <c r="D116" s="187" t="s">
        <v>590</v>
      </c>
      <c r="E116" s="8">
        <v>7.0800000000000002E-2</v>
      </c>
      <c r="F116" s="189" t="s">
        <v>585</v>
      </c>
    </row>
    <row r="117" spans="2:6" ht="15.75">
      <c r="B117" s="353"/>
      <c r="C117" s="37" t="s">
        <v>581</v>
      </c>
      <c r="D117" s="187" t="s">
        <v>589</v>
      </c>
      <c r="E117" s="8">
        <v>5</v>
      </c>
      <c r="F117" s="189" t="s">
        <v>585</v>
      </c>
    </row>
    <row r="118" spans="2:6" ht="15.75">
      <c r="B118" s="353"/>
      <c r="C118" s="37" t="s">
        <v>582</v>
      </c>
      <c r="D118" s="187" t="s">
        <v>588</v>
      </c>
      <c r="E118" s="8">
        <v>5</v>
      </c>
      <c r="F118" s="189" t="s">
        <v>585</v>
      </c>
    </row>
    <row r="119" spans="2:6" ht="15.75">
      <c r="B119" s="353"/>
      <c r="C119" s="37" t="s">
        <v>583</v>
      </c>
      <c r="D119" s="187" t="s">
        <v>587</v>
      </c>
      <c r="E119" s="8">
        <v>1.5</v>
      </c>
      <c r="F119" s="189" t="s">
        <v>585</v>
      </c>
    </row>
    <row r="120" spans="2:6" ht="16.5" thickBot="1">
      <c r="B120" s="354"/>
      <c r="C120" s="124" t="s">
        <v>584</v>
      </c>
      <c r="D120" s="190" t="s">
        <v>586</v>
      </c>
      <c r="E120" s="71">
        <v>0.2</v>
      </c>
      <c r="F120" s="191" t="s">
        <v>585</v>
      </c>
    </row>
    <row r="122" spans="2:6" ht="15.75" thickBot="1"/>
    <row r="123" spans="2:6" ht="15.75" thickBot="1">
      <c r="B123" s="345" t="s">
        <v>591</v>
      </c>
      <c r="C123" s="346"/>
      <c r="D123" s="346"/>
      <c r="E123" s="346"/>
      <c r="F123" s="347"/>
    </row>
    <row r="124" spans="2:6" ht="15.75" thickBot="1">
      <c r="B124" s="192"/>
      <c r="C124" s="165" t="s">
        <v>424</v>
      </c>
      <c r="D124" s="165" t="s">
        <v>88</v>
      </c>
      <c r="E124" s="193" t="s">
        <v>96</v>
      </c>
      <c r="F124" s="194" t="s">
        <v>426</v>
      </c>
    </row>
    <row r="125" spans="2:6">
      <c r="B125" s="364" t="s">
        <v>507</v>
      </c>
      <c r="C125" s="161" t="s">
        <v>592</v>
      </c>
      <c r="D125" s="161" t="s">
        <v>595</v>
      </c>
      <c r="E125" s="151">
        <v>70</v>
      </c>
      <c r="F125" s="152" t="s">
        <v>427</v>
      </c>
    </row>
    <row r="126" spans="2:6">
      <c r="B126" s="365"/>
      <c r="C126" s="37" t="s">
        <v>593</v>
      </c>
      <c r="D126" s="37" t="s">
        <v>596</v>
      </c>
      <c r="E126" s="140">
        <v>40</v>
      </c>
      <c r="F126" s="142" t="s">
        <v>427</v>
      </c>
    </row>
    <row r="127" spans="2:6" ht="15.75" thickBot="1">
      <c r="B127" s="365"/>
      <c r="C127" s="37" t="s">
        <v>594</v>
      </c>
      <c r="D127" s="37" t="s">
        <v>597</v>
      </c>
      <c r="E127" s="140">
        <v>3</v>
      </c>
      <c r="F127" s="142" t="s">
        <v>436</v>
      </c>
    </row>
    <row r="128" spans="2:6" ht="18">
      <c r="B128" s="365"/>
      <c r="C128" s="37" t="s">
        <v>622</v>
      </c>
      <c r="D128" s="120" t="s">
        <v>625</v>
      </c>
      <c r="E128" s="140">
        <v>1632</v>
      </c>
      <c r="F128" s="169" t="s">
        <v>540</v>
      </c>
    </row>
    <row r="129" spans="2:6" ht="18">
      <c r="B129" s="365"/>
      <c r="C129" s="37" t="s">
        <v>623</v>
      </c>
      <c r="D129" s="120" t="s">
        <v>626</v>
      </c>
      <c r="E129" s="140">
        <v>2798</v>
      </c>
      <c r="F129" s="147" t="s">
        <v>540</v>
      </c>
    </row>
    <row r="130" spans="2:6" ht="18.75" thickBot="1">
      <c r="B130" s="366"/>
      <c r="C130" s="124" t="s">
        <v>624</v>
      </c>
      <c r="D130" s="123" t="s">
        <v>627</v>
      </c>
      <c r="E130" s="153">
        <v>3496</v>
      </c>
      <c r="F130" s="176" t="s">
        <v>540</v>
      </c>
    </row>
    <row r="131" spans="2:6" ht="15.75" thickBot="1">
      <c r="B131" s="195"/>
      <c r="C131" s="166" t="s">
        <v>424</v>
      </c>
      <c r="D131" s="166" t="s">
        <v>88</v>
      </c>
      <c r="E131" s="196" t="s">
        <v>96</v>
      </c>
      <c r="F131" s="197" t="s">
        <v>426</v>
      </c>
    </row>
    <row r="132" spans="2:6" ht="15.75">
      <c r="B132" s="338" t="s">
        <v>172</v>
      </c>
      <c r="C132" s="74" t="s">
        <v>598</v>
      </c>
      <c r="D132" s="158" t="s">
        <v>437</v>
      </c>
      <c r="E132" s="75">
        <v>3.2</v>
      </c>
      <c r="F132" s="155" t="s">
        <v>438</v>
      </c>
    </row>
    <row r="133" spans="2:6" ht="15.75">
      <c r="B133" s="339"/>
      <c r="C133" s="8" t="s">
        <v>599</v>
      </c>
      <c r="D133" s="120" t="s">
        <v>441</v>
      </c>
      <c r="E133" s="76">
        <v>6.1</v>
      </c>
      <c r="F133" s="156" t="s">
        <v>438</v>
      </c>
    </row>
    <row r="134" spans="2:6" ht="15.75">
      <c r="B134" s="339"/>
      <c r="C134" s="8" t="s">
        <v>600</v>
      </c>
      <c r="D134" s="120" t="s">
        <v>442</v>
      </c>
      <c r="E134" s="76">
        <v>0.4</v>
      </c>
      <c r="F134" s="156" t="s">
        <v>438</v>
      </c>
    </row>
    <row r="135" spans="2:6" ht="15.75">
      <c r="B135" s="339"/>
      <c r="C135" s="8" t="s">
        <v>601</v>
      </c>
      <c r="D135" s="120" t="s">
        <v>443</v>
      </c>
      <c r="E135" s="76">
        <v>1.6</v>
      </c>
      <c r="F135" s="156" t="s">
        <v>438</v>
      </c>
    </row>
    <row r="136" spans="2:6" ht="15.75">
      <c r="B136" s="339"/>
      <c r="C136" s="8" t="s">
        <v>602</v>
      </c>
      <c r="D136" s="120" t="s">
        <v>440</v>
      </c>
      <c r="E136" s="76">
        <v>0.9</v>
      </c>
      <c r="F136" s="156" t="s">
        <v>438</v>
      </c>
    </row>
    <row r="137" spans="2:6" ht="15.75">
      <c r="B137" s="339"/>
      <c r="C137" s="8" t="s">
        <v>603</v>
      </c>
      <c r="D137" s="120" t="s">
        <v>444</v>
      </c>
      <c r="E137" s="76">
        <v>5.4</v>
      </c>
      <c r="F137" s="156" t="s">
        <v>438</v>
      </c>
    </row>
    <row r="138" spans="2:6" ht="64.5" customHeight="1">
      <c r="B138" s="339"/>
      <c r="C138" s="8" t="s">
        <v>604</v>
      </c>
      <c r="D138" s="121" t="s">
        <v>445</v>
      </c>
      <c r="E138" s="76">
        <f>(31.1+22.8)</f>
        <v>53.900000000000006</v>
      </c>
      <c r="F138" s="156" t="s">
        <v>438</v>
      </c>
    </row>
    <row r="139" spans="2:6" ht="15.75">
      <c r="B139" s="339"/>
      <c r="C139" s="8" t="s">
        <v>605</v>
      </c>
      <c r="D139" s="121" t="s">
        <v>650</v>
      </c>
      <c r="E139" s="76">
        <v>17.899999999999999</v>
      </c>
      <c r="F139" s="156" t="s">
        <v>438</v>
      </c>
    </row>
    <row r="140" spans="2:6" ht="15.75">
      <c r="B140" s="339"/>
      <c r="C140" s="80" t="s">
        <v>606</v>
      </c>
      <c r="D140" s="120" t="s">
        <v>607</v>
      </c>
      <c r="E140" s="159">
        <v>10</v>
      </c>
      <c r="F140" s="156" t="s">
        <v>449</v>
      </c>
    </row>
    <row r="141" spans="2:6">
      <c r="B141" s="339"/>
      <c r="C141" s="80" t="s">
        <v>609</v>
      </c>
      <c r="D141" s="37" t="s">
        <v>608</v>
      </c>
      <c r="E141" s="182">
        <v>0.28999999999999998</v>
      </c>
      <c r="F141" s="156" t="s">
        <v>447</v>
      </c>
    </row>
    <row r="142" spans="2:6" ht="15.75">
      <c r="B142" s="339"/>
      <c r="C142" s="80" t="s">
        <v>610</v>
      </c>
      <c r="D142" s="127" t="s">
        <v>450</v>
      </c>
      <c r="E142" s="160">
        <v>10</v>
      </c>
      <c r="F142" s="155" t="s">
        <v>438</v>
      </c>
    </row>
    <row r="143" spans="2:6" ht="16.5" thickBot="1">
      <c r="B143" s="340"/>
      <c r="C143" s="81" t="s">
        <v>611</v>
      </c>
      <c r="D143" s="123" t="s">
        <v>451</v>
      </c>
      <c r="E143" s="72">
        <v>1.3</v>
      </c>
      <c r="F143" s="157" t="s">
        <v>438</v>
      </c>
    </row>
    <row r="144" spans="2:6" ht="15.75" thickBot="1">
      <c r="B144" s="132"/>
      <c r="C144" s="133" t="s">
        <v>424</v>
      </c>
      <c r="D144" s="133" t="s">
        <v>88</v>
      </c>
      <c r="E144" s="133" t="s">
        <v>96</v>
      </c>
      <c r="F144" s="144" t="s">
        <v>426</v>
      </c>
    </row>
    <row r="145" spans="2:6" ht="15.75">
      <c r="B145" s="341" t="s">
        <v>173</v>
      </c>
      <c r="C145" s="126" t="s">
        <v>612</v>
      </c>
      <c r="D145" s="127" t="s">
        <v>452</v>
      </c>
      <c r="E145" s="126">
        <v>4.4000000000000004</v>
      </c>
      <c r="F145" s="141" t="s">
        <v>438</v>
      </c>
    </row>
    <row r="146" spans="2:6" ht="15.75">
      <c r="B146" s="339"/>
      <c r="C146" s="8" t="s">
        <v>613</v>
      </c>
      <c r="D146" s="120" t="s">
        <v>453</v>
      </c>
      <c r="E146" s="8">
        <v>4.0999999999999996</v>
      </c>
      <c r="F146" s="142" t="s">
        <v>438</v>
      </c>
    </row>
    <row r="147" spans="2:6" ht="15.75">
      <c r="B147" s="339"/>
      <c r="C147" s="8" t="s">
        <v>614</v>
      </c>
      <c r="D147" s="120" t="s">
        <v>454</v>
      </c>
      <c r="E147" s="8">
        <v>2</v>
      </c>
      <c r="F147" s="142" t="s">
        <v>438</v>
      </c>
    </row>
    <row r="148" spans="2:6" ht="15.75">
      <c r="B148" s="339"/>
      <c r="C148" s="8" t="s">
        <v>615</v>
      </c>
      <c r="D148" s="120" t="s">
        <v>455</v>
      </c>
      <c r="E148" s="8">
        <v>3.2</v>
      </c>
      <c r="F148" s="142" t="s">
        <v>438</v>
      </c>
    </row>
    <row r="149" spans="2:6" ht="15.75">
      <c r="B149" s="339"/>
      <c r="C149" s="8" t="s">
        <v>616</v>
      </c>
      <c r="D149" s="120" t="s">
        <v>456</v>
      </c>
      <c r="E149" s="8">
        <v>2.6</v>
      </c>
      <c r="F149" s="142" t="s">
        <v>438</v>
      </c>
    </row>
    <row r="150" spans="2:6" ht="15.75">
      <c r="B150" s="339"/>
      <c r="C150" s="8" t="s">
        <v>617</v>
      </c>
      <c r="D150" s="120" t="s">
        <v>457</v>
      </c>
      <c r="E150" s="8">
        <v>32.5</v>
      </c>
      <c r="F150" s="142" t="s">
        <v>438</v>
      </c>
    </row>
    <row r="151" spans="2:6" ht="15.75">
      <c r="B151" s="339"/>
      <c r="C151" s="8" t="s">
        <v>618</v>
      </c>
      <c r="D151" s="120" t="s">
        <v>458</v>
      </c>
      <c r="E151" s="8">
        <v>2</v>
      </c>
      <c r="F151" s="142" t="s">
        <v>438</v>
      </c>
    </row>
    <row r="152" spans="2:6" ht="16.5" thickBot="1">
      <c r="B152" s="342"/>
      <c r="C152" s="130" t="s">
        <v>619</v>
      </c>
      <c r="D152" s="136" t="s">
        <v>459</v>
      </c>
      <c r="E152" s="130">
        <v>0.7</v>
      </c>
      <c r="F152" s="143" t="s">
        <v>438</v>
      </c>
    </row>
    <row r="153" spans="2:6" ht="15.75" thickBot="1">
      <c r="B153" s="132"/>
      <c r="C153" s="133" t="s">
        <v>424</v>
      </c>
      <c r="D153" s="133" t="s">
        <v>88</v>
      </c>
      <c r="E153" s="133" t="s">
        <v>96</v>
      </c>
      <c r="F153" s="144" t="s">
        <v>426</v>
      </c>
    </row>
    <row r="154" spans="2:6" ht="15.75">
      <c r="B154" s="343" t="s">
        <v>406</v>
      </c>
      <c r="C154" s="126" t="s">
        <v>620</v>
      </c>
      <c r="D154" s="127" t="s">
        <v>460</v>
      </c>
      <c r="E154" s="126">
        <v>4.5</v>
      </c>
      <c r="F154" s="141" t="s">
        <v>438</v>
      </c>
    </row>
    <row r="155" spans="2:6" ht="32.25" thickBot="1">
      <c r="B155" s="344"/>
      <c r="C155" s="130" t="s">
        <v>621</v>
      </c>
      <c r="D155" s="136" t="s">
        <v>461</v>
      </c>
      <c r="E155" s="130">
        <v>7.3</v>
      </c>
      <c r="F155" s="143" t="s">
        <v>438</v>
      </c>
    </row>
    <row r="156" spans="2:6" ht="15.75" thickBot="1">
      <c r="B156" s="132"/>
      <c r="C156" s="133" t="s">
        <v>424</v>
      </c>
      <c r="D156" s="133" t="s">
        <v>88</v>
      </c>
      <c r="E156" s="133" t="s">
        <v>96</v>
      </c>
      <c r="F156" s="144" t="s">
        <v>426</v>
      </c>
    </row>
    <row r="157" spans="2:6" ht="18">
      <c r="B157" s="351" t="s">
        <v>171</v>
      </c>
      <c r="C157" s="74" t="s">
        <v>653</v>
      </c>
      <c r="D157" s="158" t="s">
        <v>628</v>
      </c>
      <c r="E157" s="74">
        <v>54</v>
      </c>
      <c r="F157" s="169" t="s">
        <v>470</v>
      </c>
    </row>
    <row r="158" spans="2:6" ht="18">
      <c r="B158" s="357"/>
      <c r="C158" s="8" t="s">
        <v>654</v>
      </c>
      <c r="D158" s="120" t="s">
        <v>629</v>
      </c>
      <c r="E158" s="8">
        <v>86</v>
      </c>
      <c r="F158" s="147" t="s">
        <v>470</v>
      </c>
    </row>
    <row r="159" spans="2:6" ht="18">
      <c r="B159" s="357"/>
      <c r="C159" s="8" t="s">
        <v>655</v>
      </c>
      <c r="D159" s="120" t="s">
        <v>630</v>
      </c>
      <c r="E159" s="8">
        <v>102</v>
      </c>
      <c r="F159" s="147" t="s">
        <v>470</v>
      </c>
    </row>
    <row r="160" spans="2:6" ht="18">
      <c r="B160" s="357"/>
      <c r="C160" s="8" t="s">
        <v>656</v>
      </c>
      <c r="D160" s="120" t="s">
        <v>631</v>
      </c>
      <c r="E160" s="8">
        <v>113</v>
      </c>
      <c r="F160" s="147" t="s">
        <v>470</v>
      </c>
    </row>
    <row r="161" spans="2:6" ht="18">
      <c r="B161" s="358"/>
      <c r="C161" s="8" t="s">
        <v>657</v>
      </c>
      <c r="D161" s="120" t="s">
        <v>632</v>
      </c>
      <c r="E161" s="37">
        <v>99</v>
      </c>
      <c r="F161" s="147" t="s">
        <v>470</v>
      </c>
    </row>
    <row r="162" spans="2:6" ht="18.75" thickBot="1">
      <c r="B162" s="359"/>
      <c r="C162" s="71" t="s">
        <v>658</v>
      </c>
      <c r="D162" s="123" t="s">
        <v>633</v>
      </c>
      <c r="E162" s="124">
        <v>92</v>
      </c>
      <c r="F162" s="148" t="s">
        <v>470</v>
      </c>
    </row>
  </sheetData>
  <mergeCells count="28">
    <mergeCell ref="B123:F123"/>
    <mergeCell ref="B132:B143"/>
    <mergeCell ref="B145:B152"/>
    <mergeCell ref="B154:B155"/>
    <mergeCell ref="B157:B162"/>
    <mergeCell ref="B125:B130"/>
    <mergeCell ref="B114:B120"/>
    <mergeCell ref="B59:F59"/>
    <mergeCell ref="B69:B80"/>
    <mergeCell ref="B83:F83"/>
    <mergeCell ref="B85:B87"/>
    <mergeCell ref="B89:B94"/>
    <mergeCell ref="B97:F97"/>
    <mergeCell ref="B102:F102"/>
    <mergeCell ref="B110:F110"/>
    <mergeCell ref="B106:B107"/>
    <mergeCell ref="B61:B67"/>
    <mergeCell ref="B41:B56"/>
    <mergeCell ref="C1:E1"/>
    <mergeCell ref="B14:B25"/>
    <mergeCell ref="B27:B34"/>
    <mergeCell ref="B36:B37"/>
    <mergeCell ref="C2:E2"/>
    <mergeCell ref="C3:E3"/>
    <mergeCell ref="C4:E4"/>
    <mergeCell ref="C5:E5"/>
    <mergeCell ref="B7:F7"/>
    <mergeCell ref="B9:B12"/>
  </mergeCell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dimension ref="B2:G58"/>
  <sheetViews>
    <sheetView workbookViewId="0">
      <selection activeCell="K38" sqref="K38"/>
    </sheetView>
  </sheetViews>
  <sheetFormatPr defaultColWidth="11.42578125" defaultRowHeight="15"/>
  <cols>
    <col min="3" max="3" width="17.7109375" customWidth="1"/>
    <col min="4" max="4" width="43.7109375" customWidth="1"/>
    <col min="5" max="5" width="15.5703125" customWidth="1"/>
    <col min="6" max="6" width="17.42578125" customWidth="1"/>
    <col min="7" max="7" width="17.140625" customWidth="1"/>
  </cols>
  <sheetData>
    <row r="2" spans="2:7">
      <c r="B2" s="266" t="s">
        <v>664</v>
      </c>
      <c r="C2" s="267"/>
      <c r="D2" s="267"/>
    </row>
    <row r="3" spans="2:7">
      <c r="B3" s="258" t="s">
        <v>665</v>
      </c>
      <c r="C3" s="259"/>
      <c r="D3" s="259"/>
    </row>
    <row r="4" spans="2:7">
      <c r="B4" s="258" t="s">
        <v>666</v>
      </c>
      <c r="C4" s="259"/>
      <c r="D4" s="259"/>
    </row>
    <row r="5" spans="2:7">
      <c r="B5" s="258" t="s">
        <v>354</v>
      </c>
      <c r="C5" s="259"/>
      <c r="D5" s="259"/>
    </row>
    <row r="6" spans="2:7">
      <c r="B6" s="258" t="s">
        <v>363</v>
      </c>
      <c r="C6" s="259"/>
      <c r="D6" s="259"/>
    </row>
    <row r="8" spans="2:7" ht="15.75" thickBot="1"/>
    <row r="9" spans="2:7" ht="15.75" thickBot="1">
      <c r="B9" s="277" t="s">
        <v>4</v>
      </c>
      <c r="C9" s="278"/>
      <c r="D9" s="278"/>
      <c r="E9" s="278"/>
      <c r="F9" s="279"/>
      <c r="G9" s="235">
        <f>SUM(G11:G12)</f>
        <v>95806745.900404528</v>
      </c>
    </row>
    <row r="10" spans="2:7" ht="15.75" thickBot="1">
      <c r="B10" s="62"/>
      <c r="C10" s="66" t="s">
        <v>151</v>
      </c>
      <c r="D10" s="66" t="s">
        <v>88</v>
      </c>
      <c r="E10" s="66" t="s">
        <v>96</v>
      </c>
      <c r="F10" s="371" t="s">
        <v>667</v>
      </c>
      <c r="G10" s="367" t="s">
        <v>668</v>
      </c>
    </row>
    <row r="11" spans="2:7" ht="35.1" customHeight="1">
      <c r="B11" s="275" t="s">
        <v>171</v>
      </c>
      <c r="C11" s="74" t="s">
        <v>674</v>
      </c>
      <c r="D11" s="74" t="s">
        <v>31</v>
      </c>
      <c r="E11" s="236">
        <f>'Ecological Footprint'!E36</f>
        <v>41187497.417090997</v>
      </c>
      <c r="F11" s="236">
        <v>1</v>
      </c>
      <c r="G11" s="237">
        <f>F11*E11</f>
        <v>41187497.417090997</v>
      </c>
    </row>
    <row r="12" spans="2:7" ht="33.950000000000003" customHeight="1" thickBot="1">
      <c r="B12" s="276"/>
      <c r="C12" s="71" t="s">
        <v>675</v>
      </c>
      <c r="D12" s="71" t="s">
        <v>32</v>
      </c>
      <c r="E12" s="238">
        <f>'Ecological Footprint'!E37</f>
        <v>140771258.9776122</v>
      </c>
      <c r="F12" s="238">
        <v>0.38800000000000001</v>
      </c>
      <c r="G12" s="239">
        <f>F12*E12</f>
        <v>54619248.483313531</v>
      </c>
    </row>
    <row r="13" spans="2:7" ht="15.75" thickBot="1"/>
    <row r="14" spans="2:7" ht="15.75" thickBot="1">
      <c r="B14" s="277" t="s">
        <v>5</v>
      </c>
      <c r="C14" s="278"/>
      <c r="D14" s="278"/>
      <c r="E14" s="278"/>
      <c r="F14" s="279"/>
      <c r="G14" s="377">
        <f>SUM(G16:G17)</f>
        <v>43197397.2456</v>
      </c>
    </row>
    <row r="15" spans="2:7" ht="15.75" thickBot="1">
      <c r="B15" s="204"/>
      <c r="C15" s="66" t="s">
        <v>151</v>
      </c>
      <c r="D15" s="66" t="s">
        <v>88</v>
      </c>
      <c r="E15" s="205" t="s">
        <v>96</v>
      </c>
      <c r="F15" s="371" t="s">
        <v>667</v>
      </c>
      <c r="G15" s="367" t="s">
        <v>668</v>
      </c>
    </row>
    <row r="16" spans="2:7" ht="27" customHeight="1">
      <c r="B16" s="283" t="s">
        <v>171</v>
      </c>
      <c r="C16" s="74" t="s">
        <v>676</v>
      </c>
      <c r="D16" s="74" t="s">
        <v>31</v>
      </c>
      <c r="E16" s="240">
        <f>'Ecological Footprint'!E42</f>
        <v>27889270</v>
      </c>
      <c r="F16" s="236">
        <v>1</v>
      </c>
      <c r="G16" s="237">
        <f>F16*E16</f>
        <v>27889270</v>
      </c>
    </row>
    <row r="17" spans="2:7" ht="33" customHeight="1" thickBot="1">
      <c r="B17" s="284"/>
      <c r="C17" s="71" t="s">
        <v>677</v>
      </c>
      <c r="D17" s="71" t="s">
        <v>32</v>
      </c>
      <c r="E17" s="238">
        <f>'Ecological Footprint'!E43</f>
        <v>39453936.199999996</v>
      </c>
      <c r="F17" s="238">
        <v>0.38800000000000001</v>
      </c>
      <c r="G17" s="239">
        <f>F17*E17</f>
        <v>15308127.245599998</v>
      </c>
    </row>
    <row r="18" spans="2:7" ht="15.75" thickBot="1"/>
    <row r="19" spans="2:7" ht="15.75" thickBot="1">
      <c r="B19" s="287" t="s">
        <v>6</v>
      </c>
      <c r="C19" s="289"/>
      <c r="D19" s="289"/>
      <c r="E19" s="374"/>
      <c r="F19" s="375"/>
      <c r="G19" s="235">
        <f>SUM(G21:G22)</f>
        <v>5160205.1520000007</v>
      </c>
    </row>
    <row r="20" spans="2:7" ht="15.75" thickBot="1">
      <c r="B20" s="372"/>
      <c r="C20" s="166" t="s">
        <v>151</v>
      </c>
      <c r="D20" s="166" t="s">
        <v>88</v>
      </c>
      <c r="E20" s="166" t="s">
        <v>96</v>
      </c>
      <c r="F20" s="373" t="s">
        <v>667</v>
      </c>
      <c r="G20" s="373" t="s">
        <v>668</v>
      </c>
    </row>
    <row r="21" spans="2:7" ht="27" customHeight="1">
      <c r="B21" s="285" t="s">
        <v>171</v>
      </c>
      <c r="C21" s="126" t="s">
        <v>678</v>
      </c>
      <c r="D21" s="126" t="s">
        <v>31</v>
      </c>
      <c r="E21" s="240">
        <f>'Ecological Footprint'!E48</f>
        <v>2902548</v>
      </c>
      <c r="F21" s="240">
        <v>1</v>
      </c>
      <c r="G21" s="241">
        <f>F21*E21</f>
        <v>2902548</v>
      </c>
    </row>
    <row r="22" spans="2:7" ht="36.950000000000003" customHeight="1" thickBot="1">
      <c r="B22" s="276"/>
      <c r="C22" s="71" t="s">
        <v>679</v>
      </c>
      <c r="D22" s="71" t="s">
        <v>32</v>
      </c>
      <c r="E22" s="238">
        <f>'Ecological Footprint'!E49</f>
        <v>5818704</v>
      </c>
      <c r="F22" s="238">
        <v>0.38800000000000001</v>
      </c>
      <c r="G22" s="239">
        <f>F22*E22</f>
        <v>2257657.1520000002</v>
      </c>
    </row>
    <row r="24" spans="2:7" ht="15.75" thickBot="1"/>
    <row r="25" spans="2:7" ht="15.75" thickBot="1">
      <c r="B25" s="287" t="s">
        <v>7</v>
      </c>
      <c r="C25" s="288"/>
      <c r="D25" s="289"/>
      <c r="E25" s="289"/>
      <c r="F25" s="362"/>
      <c r="G25" s="244">
        <f>G27</f>
        <v>2866589.99235</v>
      </c>
    </row>
    <row r="26" spans="2:7" ht="15.75" thickBot="1">
      <c r="B26" s="62"/>
      <c r="C26" s="66" t="s">
        <v>151</v>
      </c>
      <c r="D26" s="66" t="s">
        <v>88</v>
      </c>
      <c r="E26" s="66" t="s">
        <v>96</v>
      </c>
      <c r="F26" s="371" t="s">
        <v>667</v>
      </c>
      <c r="G26" s="367" t="s">
        <v>668</v>
      </c>
    </row>
    <row r="27" spans="2:7" ht="48" customHeight="1" thickBot="1">
      <c r="B27" s="85" t="s">
        <v>171</v>
      </c>
      <c r="C27" s="82" t="s">
        <v>680</v>
      </c>
      <c r="D27" s="82" t="s">
        <v>31</v>
      </c>
      <c r="E27" s="242">
        <f>'Ecological Footprint'!E54</f>
        <v>2866589.99235</v>
      </c>
      <c r="F27" s="242">
        <v>1</v>
      </c>
      <c r="G27" s="243">
        <f>F27*E27</f>
        <v>2866589.99235</v>
      </c>
    </row>
    <row r="28" spans="2:7">
      <c r="B28" s="3"/>
    </row>
    <row r="29" spans="2:7" ht="15.75" thickBot="1">
      <c r="B29" s="3"/>
    </row>
    <row r="30" spans="2:7" ht="15.75" thickBot="1">
      <c r="B30" s="277" t="s">
        <v>8</v>
      </c>
      <c r="C30" s="290"/>
      <c r="D30" s="278"/>
      <c r="E30" s="278"/>
      <c r="F30" s="279"/>
      <c r="G30" s="235">
        <f>SUM(G32:G35)</f>
        <v>66178837.055487998</v>
      </c>
    </row>
    <row r="31" spans="2:7" ht="15.75" thickBot="1">
      <c r="B31" s="62"/>
      <c r="C31" s="66" t="s">
        <v>151</v>
      </c>
      <c r="D31" s="66" t="s">
        <v>88</v>
      </c>
      <c r="E31" s="66" t="s">
        <v>96</v>
      </c>
      <c r="F31" s="371" t="s">
        <v>669</v>
      </c>
      <c r="G31" s="367" t="s">
        <v>668</v>
      </c>
    </row>
    <row r="32" spans="2:7">
      <c r="B32" s="275" t="s">
        <v>171</v>
      </c>
      <c r="C32" s="74" t="s">
        <v>681</v>
      </c>
      <c r="D32" s="74" t="s">
        <v>47</v>
      </c>
      <c r="E32" s="236">
        <f>'Ecological Footprint'!E59</f>
        <v>31485000</v>
      </c>
      <c r="F32" s="236">
        <v>0.104</v>
      </c>
      <c r="G32" s="237">
        <f>F32*E32</f>
        <v>3274440</v>
      </c>
    </row>
    <row r="33" spans="2:7">
      <c r="B33" s="286"/>
      <c r="C33" s="8" t="s">
        <v>682</v>
      </c>
      <c r="D33" s="8" t="s">
        <v>49</v>
      </c>
      <c r="E33" s="245">
        <f>'Ecological Footprint'!E60</f>
        <v>35540763.799999997</v>
      </c>
      <c r="F33" s="245">
        <v>1.03</v>
      </c>
      <c r="G33" s="246">
        <f t="shared" ref="G33:G35" si="0">F33*E33</f>
        <v>36606986.714000002</v>
      </c>
    </row>
    <row r="34" spans="2:7">
      <c r="B34" s="286"/>
      <c r="C34" s="8" t="s">
        <v>683</v>
      </c>
      <c r="D34" s="8" t="s">
        <v>50</v>
      </c>
      <c r="E34" s="245">
        <f>'Ecological Footprint'!E61</f>
        <v>19179543.344000004</v>
      </c>
      <c r="F34" s="245">
        <v>0.214</v>
      </c>
      <c r="G34" s="246">
        <f t="shared" si="0"/>
        <v>4104422.2756160009</v>
      </c>
    </row>
    <row r="35" spans="2:7">
      <c r="B35" s="286"/>
      <c r="C35" s="8" t="s">
        <v>684</v>
      </c>
      <c r="D35" s="8" t="s">
        <v>51</v>
      </c>
      <c r="E35" s="245">
        <f>'Ecological Footprint'!E62</f>
        <v>93641299.855999991</v>
      </c>
      <c r="F35" s="245">
        <v>0.23699999999999999</v>
      </c>
      <c r="G35" s="246">
        <f t="shared" si="0"/>
        <v>22192988.065871999</v>
      </c>
    </row>
    <row r="36" spans="2:7" ht="15.75" thickBot="1"/>
    <row r="37" spans="2:7" ht="15.75" thickBot="1">
      <c r="B37" s="277" t="s">
        <v>9</v>
      </c>
      <c r="C37" s="278"/>
      <c r="D37" s="278"/>
      <c r="E37" s="278"/>
      <c r="F37" s="279"/>
      <c r="G37" s="235">
        <f>SUM(G39:G48)</f>
        <v>3226145.8275379511</v>
      </c>
    </row>
    <row r="38" spans="2:7" ht="30.75" thickBot="1">
      <c r="B38" s="62"/>
      <c r="C38" s="66" t="s">
        <v>151</v>
      </c>
      <c r="D38" s="66" t="s">
        <v>88</v>
      </c>
      <c r="E38" s="66" t="s">
        <v>96</v>
      </c>
      <c r="F38" s="376" t="s">
        <v>670</v>
      </c>
      <c r="G38" s="367" t="s">
        <v>668</v>
      </c>
    </row>
    <row r="39" spans="2:7">
      <c r="B39" s="291" t="s">
        <v>171</v>
      </c>
      <c r="C39" s="74" t="s">
        <v>685</v>
      </c>
      <c r="D39" s="74" t="s">
        <v>52</v>
      </c>
      <c r="E39" s="236">
        <f>'Ecological Footprint'!E66</f>
        <v>52500</v>
      </c>
      <c r="F39" s="236">
        <v>0.104</v>
      </c>
      <c r="G39" s="237">
        <f>F39*E39</f>
        <v>5460</v>
      </c>
    </row>
    <row r="40" spans="2:7">
      <c r="B40" s="292"/>
      <c r="C40" s="8" t="s">
        <v>686</v>
      </c>
      <c r="D40" s="8" t="s">
        <v>53</v>
      </c>
      <c r="E40" s="245">
        <f>'Ecological Footprint'!E67</f>
        <v>937500</v>
      </c>
      <c r="F40" s="245">
        <v>1.03</v>
      </c>
      <c r="G40" s="246">
        <f t="shared" ref="G40:G48" si="1">F40*E40</f>
        <v>965625</v>
      </c>
    </row>
    <row r="41" spans="2:7">
      <c r="B41" s="292"/>
      <c r="C41" s="8" t="s">
        <v>687</v>
      </c>
      <c r="D41" s="8" t="s">
        <v>54</v>
      </c>
      <c r="E41" s="245">
        <f>'Ecological Footprint'!E68</f>
        <v>91800</v>
      </c>
      <c r="F41" s="245">
        <v>0.214</v>
      </c>
      <c r="G41" s="246">
        <f t="shared" si="1"/>
        <v>19645.2</v>
      </c>
    </row>
    <row r="42" spans="2:7">
      <c r="B42" s="292"/>
      <c r="C42" s="8" t="s">
        <v>688</v>
      </c>
      <c r="D42" s="8" t="s">
        <v>55</v>
      </c>
      <c r="E42" s="245">
        <f>'Ecological Footprint'!E69</f>
        <v>448200</v>
      </c>
      <c r="F42" s="245">
        <v>0.23699999999999999</v>
      </c>
      <c r="G42" s="246">
        <f t="shared" si="1"/>
        <v>106223.4</v>
      </c>
    </row>
    <row r="43" spans="2:7">
      <c r="B43" s="292"/>
      <c r="C43" s="80" t="s">
        <v>689</v>
      </c>
      <c r="D43" s="80" t="s">
        <v>237</v>
      </c>
      <c r="E43" s="245">
        <f>'Ecological Footprint'!E70</f>
        <v>924662.4</v>
      </c>
      <c r="F43" s="245">
        <v>1.32</v>
      </c>
      <c r="G43" s="246">
        <f t="shared" si="1"/>
        <v>1220554.368</v>
      </c>
    </row>
    <row r="44" spans="2:7">
      <c r="B44" s="292"/>
      <c r="C44" s="8" t="s">
        <v>690</v>
      </c>
      <c r="D44" s="8" t="s">
        <v>56</v>
      </c>
      <c r="E44" s="245">
        <f>'Ecological Footprint'!E71</f>
        <v>1533000</v>
      </c>
      <c r="F44" s="245">
        <v>2.14E-3</v>
      </c>
      <c r="G44" s="246">
        <f t="shared" si="1"/>
        <v>3280.62</v>
      </c>
    </row>
    <row r="45" spans="2:7">
      <c r="B45" s="292"/>
      <c r="C45" s="8" t="s">
        <v>691</v>
      </c>
      <c r="D45" s="8" t="s">
        <v>58</v>
      </c>
      <c r="E45" s="245">
        <f>'Ecological Footprint'!E72</f>
        <v>358730.41484120005</v>
      </c>
      <c r="F45" s="245">
        <v>3.2899999999999999E-2</v>
      </c>
      <c r="G45" s="246">
        <f t="shared" si="1"/>
        <v>11802.230648275481</v>
      </c>
    </row>
    <row r="46" spans="2:7">
      <c r="B46" s="292"/>
      <c r="C46" s="8" t="s">
        <v>692</v>
      </c>
      <c r="D46" s="8" t="s">
        <v>57</v>
      </c>
      <c r="E46" s="245">
        <f>'Ecological Footprint'!E73</f>
        <v>2152672.6348496</v>
      </c>
      <c r="F46" s="245">
        <v>3.5400000000000001E-2</v>
      </c>
      <c r="G46" s="246">
        <f t="shared" si="1"/>
        <v>76204.611273675837</v>
      </c>
    </row>
    <row r="47" spans="2:7">
      <c r="B47" s="292"/>
      <c r="C47" s="8" t="s">
        <v>693</v>
      </c>
      <c r="D47" s="8" t="s">
        <v>59</v>
      </c>
      <c r="E47" s="245">
        <f>'Ecological Footprint'!E74</f>
        <v>4851199.176</v>
      </c>
      <c r="F47" s="245">
        <v>0.16600000000000001</v>
      </c>
      <c r="G47" s="246">
        <f t="shared" si="1"/>
        <v>805299.06321599998</v>
      </c>
    </row>
    <row r="48" spans="2:7" ht="15.75" thickBot="1">
      <c r="B48" s="293"/>
      <c r="C48" s="71" t="s">
        <v>694</v>
      </c>
      <c r="D48" s="71" t="s">
        <v>60</v>
      </c>
      <c r="E48" s="238">
        <f>'Ecological Footprint'!E75</f>
        <v>7259.84</v>
      </c>
      <c r="F48" s="238">
        <v>1.66</v>
      </c>
      <c r="G48" s="239">
        <f t="shared" si="1"/>
        <v>12051.3344</v>
      </c>
    </row>
    <row r="49" spans="2:7" ht="15.75" thickBot="1"/>
    <row r="50" spans="2:7" ht="15.75" thickBot="1">
      <c r="B50" s="277" t="s">
        <v>10</v>
      </c>
      <c r="C50" s="290"/>
      <c r="D50" s="278"/>
      <c r="E50" s="278"/>
      <c r="F50" s="279"/>
      <c r="G50" s="235">
        <f>SUM(G52:G53,)</f>
        <v>8930008.9600000009</v>
      </c>
    </row>
    <row r="51" spans="2:7" ht="15.75" thickBot="1">
      <c r="B51" s="65"/>
      <c r="C51" s="66" t="s">
        <v>151</v>
      </c>
      <c r="D51" s="66" t="s">
        <v>88</v>
      </c>
      <c r="E51" s="66" t="s">
        <v>96</v>
      </c>
      <c r="F51" s="370" t="s">
        <v>667</v>
      </c>
      <c r="G51" s="367" t="s">
        <v>668</v>
      </c>
    </row>
    <row r="52" spans="2:7" ht="26.1" customHeight="1">
      <c r="B52" s="275" t="s">
        <v>171</v>
      </c>
      <c r="C52" s="74" t="s">
        <v>695</v>
      </c>
      <c r="D52" s="74" t="s">
        <v>31</v>
      </c>
      <c r="E52" s="236">
        <f>'Ecological Footprint'!E104</f>
        <v>5977360</v>
      </c>
      <c r="F52" s="236">
        <v>1</v>
      </c>
      <c r="G52" s="237">
        <f>F52*E52</f>
        <v>5977360</v>
      </c>
    </row>
    <row r="53" spans="2:7" ht="32.1" customHeight="1" thickBot="1">
      <c r="B53" s="276"/>
      <c r="C53" s="71" t="s">
        <v>696</v>
      </c>
      <c r="D53" s="71" t="s">
        <v>32</v>
      </c>
      <c r="E53" s="238">
        <f>'Ecological Footprint'!E105</f>
        <v>7609920</v>
      </c>
      <c r="F53" s="238">
        <v>0.38800000000000001</v>
      </c>
      <c r="G53" s="239">
        <f>F53*E53</f>
        <v>2952648.96</v>
      </c>
    </row>
    <row r="55" spans="2:7" ht="15.75" thickBot="1"/>
    <row r="56" spans="2:7" ht="15.75" thickBot="1">
      <c r="D56" s="228" t="s">
        <v>672</v>
      </c>
      <c r="E56" s="229"/>
      <c r="F56" s="230"/>
      <c r="G56" s="234">
        <f>SUM(G50+G37+G30+G25+G19+G14+G9)/1000</f>
        <v>225365.93013338046</v>
      </c>
    </row>
    <row r="57" spans="2:7" ht="15.75" thickBot="1">
      <c r="D57" s="231" t="s">
        <v>673</v>
      </c>
      <c r="E57" s="232"/>
      <c r="F57" s="233"/>
      <c r="G57" s="247">
        <f>G56/(Inputs!D8+Inputs!D9)</f>
        <v>7.6979754793476038</v>
      </c>
    </row>
    <row r="58" spans="2:7" ht="15.75" thickBot="1">
      <c r="D58" s="228" t="s">
        <v>671</v>
      </c>
      <c r="E58" s="229"/>
      <c r="F58" s="230"/>
      <c r="G58" s="234">
        <f>G56/'Carrying Capacity'!P6</f>
        <v>6.2009243155393019</v>
      </c>
    </row>
  </sheetData>
  <mergeCells count="18">
    <mergeCell ref="B21:B22"/>
    <mergeCell ref="B2:D2"/>
    <mergeCell ref="B3:D3"/>
    <mergeCell ref="B4:D4"/>
    <mergeCell ref="B5:D5"/>
    <mergeCell ref="B6:D6"/>
    <mergeCell ref="B9:F9"/>
    <mergeCell ref="B11:B12"/>
    <mergeCell ref="B14:F14"/>
    <mergeCell ref="B16:B17"/>
    <mergeCell ref="B19:F19"/>
    <mergeCell ref="B52:B53"/>
    <mergeCell ref="B25:F25"/>
    <mergeCell ref="B30:F30"/>
    <mergeCell ref="B32:B35"/>
    <mergeCell ref="B37:F37"/>
    <mergeCell ref="B39:B48"/>
    <mergeCell ref="B50:F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Φύλλα εργασίας</vt:lpstr>
      </vt:variant>
      <vt:variant>
        <vt:i4>8</vt:i4>
      </vt:variant>
    </vt:vector>
  </HeadingPairs>
  <TitlesOfParts>
    <vt:vector size="8" baseType="lpstr">
      <vt:lpstr>Carrying Capacity</vt:lpstr>
      <vt:lpstr>Ecological Footprint</vt:lpstr>
      <vt:lpstr>Biocapacity</vt:lpstr>
      <vt:lpstr>Population</vt:lpstr>
      <vt:lpstr>Indicators</vt:lpstr>
      <vt:lpstr>Inputs</vt:lpstr>
      <vt:lpstr>Assumptions</vt:lpstr>
      <vt:lpstr>Carbon Footprint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despoina</dc:creator>
  <cp:lastModifiedBy>user</cp:lastModifiedBy>
  <cp:lastPrinted>2018-04-16T06:32:15Z</cp:lastPrinted>
  <dcterms:created xsi:type="dcterms:W3CDTF">2018-03-27T16:33:55Z</dcterms:created>
  <dcterms:modified xsi:type="dcterms:W3CDTF">2018-04-27T06:33:03Z</dcterms:modified>
</cp:coreProperties>
</file>